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bi\Desktop\"/>
    </mc:Choice>
  </mc:AlternateContent>
  <bookViews>
    <workbookView xWindow="0" yWindow="0" windowWidth="20490" windowHeight="7755"/>
  </bookViews>
  <sheets>
    <sheet name="فرم محاسبه سود تسهيلات" sheetId="1" r:id="rId1"/>
    <sheet name="1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62913"/>
  <customWorkbookViews>
    <customWorkbookView name="Sarina - Personal View" guid="{F954D35E-5269-4B79-B189-F3BEB60F2B9C}" mergeInterval="0" personalView="1" maximized="1" xWindow="1" yWindow="1" windowWidth="1024" windowHeight="517" activeSheetId="1" showComments="commIndAndComment"/>
  </customWorkbookViews>
</workbook>
</file>

<file path=xl/calcChain.xml><?xml version="1.0" encoding="utf-8"?>
<calcChain xmlns="http://schemas.openxmlformats.org/spreadsheetml/2006/main">
  <c r="B74" i="1" l="1"/>
  <c r="D74" i="1" s="1"/>
  <c r="B15" i="1"/>
  <c r="G15" i="1" s="1"/>
  <c r="B16" i="1"/>
  <c r="B17" i="1"/>
  <c r="G17" i="1" s="1"/>
  <c r="B18" i="1"/>
  <c r="B19" i="1"/>
  <c r="G19" i="1" s="1"/>
  <c r="B20" i="1"/>
  <c r="B21" i="1"/>
  <c r="G21" i="1" s="1"/>
  <c r="B22" i="1"/>
  <c r="B23" i="1"/>
  <c r="G23" i="1" s="1"/>
  <c r="B24" i="1"/>
  <c r="B25" i="1"/>
  <c r="G25" i="1" s="1"/>
  <c r="B26" i="1"/>
  <c r="B27" i="1"/>
  <c r="G27" i="1" s="1"/>
  <c r="B28" i="1"/>
  <c r="B29" i="1"/>
  <c r="G29" i="1" s="1"/>
  <c r="B30" i="1"/>
  <c r="B31" i="1"/>
  <c r="G31" i="1" s="1"/>
  <c r="B32" i="1"/>
  <c r="B33" i="1"/>
  <c r="G33" i="1" s="1"/>
  <c r="B34" i="1"/>
  <c r="B35" i="1"/>
  <c r="G35" i="1" s="1"/>
  <c r="B36" i="1"/>
  <c r="B37" i="1"/>
  <c r="G37" i="1" s="1"/>
  <c r="B38" i="1"/>
  <c r="B39" i="1"/>
  <c r="G39" i="1" s="1"/>
  <c r="B40" i="1"/>
  <c r="B41" i="1"/>
  <c r="G41" i="1" s="1"/>
  <c r="B42" i="1"/>
  <c r="B43" i="1"/>
  <c r="G43" i="1" s="1"/>
  <c r="B44" i="1"/>
  <c r="B45" i="1"/>
  <c r="G45" i="1" s="1"/>
  <c r="B46" i="1"/>
  <c r="B47" i="1"/>
  <c r="G47" i="1" s="1"/>
  <c r="B48" i="1"/>
  <c r="B49" i="1"/>
  <c r="G49" i="1" s="1"/>
  <c r="B50" i="1"/>
  <c r="B51" i="1"/>
  <c r="G51" i="1" s="1"/>
  <c r="B52" i="1"/>
  <c r="B53" i="1"/>
  <c r="G53" i="1" s="1"/>
  <c r="B54" i="1"/>
  <c r="B55" i="1"/>
  <c r="G55" i="1" s="1"/>
  <c r="B56" i="1"/>
  <c r="B57" i="1"/>
  <c r="G57" i="1" s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G70" i="1" s="1"/>
  <c r="B71" i="1"/>
  <c r="B72" i="1"/>
  <c r="B73" i="1"/>
  <c r="B14" i="1"/>
  <c r="D14" i="1" s="1"/>
  <c r="G34" i="1"/>
  <c r="G36" i="1"/>
  <c r="G38" i="1"/>
  <c r="G40" i="1"/>
  <c r="G42" i="1"/>
  <c r="G44" i="1"/>
  <c r="G46" i="1"/>
  <c r="G48" i="1"/>
  <c r="G50" i="1"/>
  <c r="G52" i="1"/>
  <c r="G54" i="1"/>
  <c r="G56" i="1"/>
  <c r="C11" i="2"/>
  <c r="B11" i="2"/>
  <c r="A10" i="2" s="1"/>
  <c r="K1" i="2" s="1"/>
  <c r="C9" i="1"/>
  <c r="G4" i="1" s="1"/>
  <c r="G5" i="1" s="1"/>
  <c r="G3" i="1" s="1"/>
  <c r="F3" i="1"/>
  <c r="E12" i="1"/>
  <c r="D12" i="1"/>
  <c r="A4" i="2"/>
  <c r="E1" i="2" s="1"/>
  <c r="E2" i="2" s="1"/>
  <c r="A9" i="2"/>
  <c r="H12" i="1"/>
  <c r="F12" i="1"/>
  <c r="C12" i="1"/>
  <c r="G14" i="1"/>
  <c r="G16" i="1"/>
  <c r="G18" i="1"/>
  <c r="G20" i="1"/>
  <c r="G22" i="1"/>
  <c r="G24" i="1"/>
  <c r="G26" i="1"/>
  <c r="G28" i="1"/>
  <c r="G30" i="1"/>
  <c r="G32" i="1"/>
  <c r="B13" i="1"/>
  <c r="F5" i="1"/>
  <c r="F4" i="1"/>
  <c r="G12" i="1"/>
  <c r="B12" i="1"/>
  <c r="B11" i="1"/>
  <c r="F2" i="1"/>
  <c r="G13" i="1" l="1"/>
  <c r="E14" i="1"/>
  <c r="A2" i="2"/>
  <c r="A7" i="2"/>
  <c r="H1" i="2" s="1"/>
  <c r="H2" i="2" s="1"/>
  <c r="J1" i="2"/>
  <c r="A8" i="2"/>
  <c r="I1" i="2" s="1"/>
  <c r="C14" i="2" s="1"/>
  <c r="A3" i="2"/>
  <c r="D1" i="2" s="1"/>
  <c r="A6" i="2"/>
  <c r="G1" i="2" s="1"/>
  <c r="A5" i="2"/>
  <c r="E74" i="1"/>
  <c r="F74" i="1"/>
  <c r="C74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C15" i="2"/>
  <c r="BL15" i="2" s="1"/>
  <c r="F14" i="1"/>
  <c r="D15" i="1" s="1"/>
  <c r="X15" i="2"/>
  <c r="U15" i="2"/>
  <c r="T15" i="2"/>
  <c r="R15" i="2"/>
  <c r="P15" i="2"/>
  <c r="N15" i="2"/>
  <c r="L15" i="2"/>
  <c r="J15" i="2"/>
  <c r="H15" i="2"/>
  <c r="F15" i="2"/>
  <c r="D15" i="2"/>
  <c r="E15" i="2" l="1"/>
  <c r="G15" i="2"/>
  <c r="I15" i="2"/>
  <c r="K15" i="2"/>
  <c r="M15" i="2"/>
  <c r="O15" i="2"/>
  <c r="Q15" i="2"/>
  <c r="S15" i="2"/>
  <c r="V15" i="2"/>
  <c r="W15" i="2"/>
  <c r="D14" i="2"/>
  <c r="E14" i="2" s="1"/>
  <c r="C13" i="2"/>
  <c r="C16" i="2" s="1"/>
  <c r="F1" i="2"/>
  <c r="H14" i="1"/>
  <c r="H74" i="1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E15" i="1"/>
  <c r="D13" i="2" l="1"/>
  <c r="D16" i="2" s="1"/>
  <c r="C14" i="1" s="1"/>
  <c r="F15" i="1"/>
  <c r="H15" i="1" s="1"/>
  <c r="F14" i="2"/>
  <c r="E13" i="2" l="1"/>
  <c r="D16" i="1"/>
  <c r="G14" i="2"/>
  <c r="E16" i="2" l="1"/>
  <c r="C15" i="1" s="1"/>
  <c r="F13" i="2"/>
  <c r="E16" i="1"/>
  <c r="H14" i="2"/>
  <c r="F16" i="2" l="1"/>
  <c r="C16" i="1" s="1"/>
  <c r="G13" i="2"/>
  <c r="F16" i="1"/>
  <c r="H16" i="1" s="1"/>
  <c r="I14" i="2"/>
  <c r="G16" i="2" l="1"/>
  <c r="C17" i="1" s="1"/>
  <c r="H13" i="2"/>
  <c r="D17" i="1"/>
  <c r="J14" i="2"/>
  <c r="H16" i="2" l="1"/>
  <c r="C18" i="1" s="1"/>
  <c r="I13" i="2"/>
  <c r="E17" i="1"/>
  <c r="K14" i="2"/>
  <c r="I16" i="2" l="1"/>
  <c r="C19" i="1" s="1"/>
  <c r="J13" i="2"/>
  <c r="F17" i="1"/>
  <c r="H17" i="1" s="1"/>
  <c r="L14" i="2"/>
  <c r="J16" i="2" l="1"/>
  <c r="C20" i="1" s="1"/>
  <c r="K13" i="2"/>
  <c r="D18" i="1"/>
  <c r="M14" i="2"/>
  <c r="K16" i="2" l="1"/>
  <c r="C21" i="1" s="1"/>
  <c r="L13" i="2"/>
  <c r="E18" i="1"/>
  <c r="N14" i="2"/>
  <c r="L16" i="2" l="1"/>
  <c r="C22" i="1" s="1"/>
  <c r="M13" i="2"/>
  <c r="F18" i="1"/>
  <c r="H18" i="1" s="1"/>
  <c r="O14" i="2"/>
  <c r="M16" i="2" l="1"/>
  <c r="C23" i="1" s="1"/>
  <c r="N13" i="2"/>
  <c r="D19" i="1"/>
  <c r="P14" i="2"/>
  <c r="N16" i="2" l="1"/>
  <c r="C24" i="1" s="1"/>
  <c r="O13" i="2"/>
  <c r="E19" i="1"/>
  <c r="Q14" i="2"/>
  <c r="O16" i="2" l="1"/>
  <c r="C25" i="1" s="1"/>
  <c r="P13" i="2"/>
  <c r="F19" i="1"/>
  <c r="H19" i="1" s="1"/>
  <c r="R14" i="2"/>
  <c r="P16" i="2" l="1"/>
  <c r="C26" i="1" s="1"/>
  <c r="Q13" i="2"/>
  <c r="D20" i="1"/>
  <c r="S14" i="2"/>
  <c r="Q16" i="2" l="1"/>
  <c r="C27" i="1" s="1"/>
  <c r="R13" i="2"/>
  <c r="E20" i="1"/>
  <c r="T14" i="2"/>
  <c r="R16" i="2" l="1"/>
  <c r="C28" i="1" s="1"/>
  <c r="S13" i="2"/>
  <c r="F20" i="1"/>
  <c r="D21" i="1" s="1"/>
  <c r="U14" i="2"/>
  <c r="S16" i="2" l="1"/>
  <c r="C29" i="1" s="1"/>
  <c r="T13" i="2"/>
  <c r="H20" i="1"/>
  <c r="E21" i="1"/>
  <c r="V14" i="2"/>
  <c r="T16" i="2" l="1"/>
  <c r="C30" i="1" s="1"/>
  <c r="U13" i="2"/>
  <c r="F21" i="1"/>
  <c r="D22" i="1" s="1"/>
  <c r="W14" i="2"/>
  <c r="H21" i="1" l="1"/>
  <c r="U16" i="2"/>
  <c r="C31" i="1" s="1"/>
  <c r="V13" i="2"/>
  <c r="E22" i="1"/>
  <c r="X14" i="2"/>
  <c r="V16" i="2" l="1"/>
  <c r="C32" i="1" s="1"/>
  <c r="W13" i="2"/>
  <c r="Y14" i="2"/>
  <c r="F22" i="1"/>
  <c r="D23" i="1" s="1"/>
  <c r="X13" i="2" l="1"/>
  <c r="W16" i="2"/>
  <c r="C33" i="1" s="1"/>
  <c r="H22" i="1"/>
  <c r="Z14" i="2"/>
  <c r="E23" i="1"/>
  <c r="X16" i="2" l="1"/>
  <c r="C34" i="1" s="1"/>
  <c r="Y13" i="2"/>
  <c r="AA14" i="2"/>
  <c r="F23" i="1"/>
  <c r="D24" i="1" s="1"/>
  <c r="H23" i="1" l="1"/>
  <c r="Y16" i="2"/>
  <c r="C35" i="1" s="1"/>
  <c r="Z13" i="2"/>
  <c r="AB14" i="2"/>
  <c r="E24" i="1"/>
  <c r="Z16" i="2" l="1"/>
  <c r="C36" i="1" s="1"/>
  <c r="AA13" i="2"/>
  <c r="AC14" i="2"/>
  <c r="F24" i="1"/>
  <c r="D25" i="1" s="1"/>
  <c r="AA16" i="2" l="1"/>
  <c r="C37" i="1" s="1"/>
  <c r="AB13" i="2"/>
  <c r="H24" i="1"/>
  <c r="AD14" i="2"/>
  <c r="E25" i="1"/>
  <c r="AB16" i="2" l="1"/>
  <c r="C38" i="1" s="1"/>
  <c r="AC13" i="2"/>
  <c r="AE14" i="2"/>
  <c r="F25" i="1"/>
  <c r="D26" i="1" s="1"/>
  <c r="H25" i="1" l="1"/>
  <c r="AC16" i="2"/>
  <c r="C39" i="1" s="1"/>
  <c r="AD13" i="2"/>
  <c r="AF14" i="2"/>
  <c r="E26" i="1"/>
  <c r="AD16" i="2" l="1"/>
  <c r="AE13" i="2"/>
  <c r="AG14" i="2"/>
  <c r="F26" i="1"/>
  <c r="D27" i="1" s="1"/>
  <c r="C40" i="1" l="1"/>
  <c r="C41" i="1"/>
  <c r="AE16" i="2"/>
  <c r="C42" i="1" s="1"/>
  <c r="AF13" i="2"/>
  <c r="H26" i="1"/>
  <c r="AH14" i="2"/>
  <c r="E27" i="1"/>
  <c r="AF16" i="2" l="1"/>
  <c r="C43" i="1" s="1"/>
  <c r="AG13" i="2"/>
  <c r="AI14" i="2"/>
  <c r="F27" i="1"/>
  <c r="D28" i="1" s="1"/>
  <c r="AG16" i="2" l="1"/>
  <c r="C44" i="1" s="1"/>
  <c r="AH13" i="2"/>
  <c r="H27" i="1"/>
  <c r="AJ14" i="2"/>
  <c r="E28" i="1"/>
  <c r="AH16" i="2" l="1"/>
  <c r="C45" i="1" s="1"/>
  <c r="AI13" i="2"/>
  <c r="AK14" i="2"/>
  <c r="F28" i="1"/>
  <c r="D29" i="1" s="1"/>
  <c r="AI16" i="2" l="1"/>
  <c r="C46" i="1" s="1"/>
  <c r="AJ13" i="2"/>
  <c r="H28" i="1"/>
  <c r="AL14" i="2"/>
  <c r="E29" i="1"/>
  <c r="AJ16" i="2" l="1"/>
  <c r="C47" i="1" s="1"/>
  <c r="AK13" i="2"/>
  <c r="AM14" i="2"/>
  <c r="F29" i="1"/>
  <c r="D30" i="1" s="1"/>
  <c r="AK16" i="2" l="1"/>
  <c r="C48" i="1" s="1"/>
  <c r="AL13" i="2"/>
  <c r="H29" i="1"/>
  <c r="AN14" i="2"/>
  <c r="E30" i="1"/>
  <c r="AL16" i="2" l="1"/>
  <c r="C49" i="1" s="1"/>
  <c r="AM13" i="2"/>
  <c r="AO14" i="2"/>
  <c r="F30" i="1"/>
  <c r="D31" i="1" s="1"/>
  <c r="AM16" i="2" l="1"/>
  <c r="C50" i="1" s="1"/>
  <c r="AN13" i="2"/>
  <c r="H30" i="1"/>
  <c r="AP14" i="2"/>
  <c r="E31" i="1"/>
  <c r="AN16" i="2" l="1"/>
  <c r="C51" i="1" s="1"/>
  <c r="AO13" i="2"/>
  <c r="AQ14" i="2"/>
  <c r="F31" i="1"/>
  <c r="D32" i="1" s="1"/>
  <c r="AO16" i="2" l="1"/>
  <c r="C52" i="1" s="1"/>
  <c r="AP13" i="2"/>
  <c r="H31" i="1"/>
  <c r="AR14" i="2"/>
  <c r="E32" i="1"/>
  <c r="AP16" i="2" l="1"/>
  <c r="C53" i="1" s="1"/>
  <c r="AQ13" i="2"/>
  <c r="AS14" i="2"/>
  <c r="F32" i="1"/>
  <c r="D33" i="1" s="1"/>
  <c r="AQ16" i="2" l="1"/>
  <c r="C54" i="1" s="1"/>
  <c r="AR13" i="2"/>
  <c r="H32" i="1"/>
  <c r="AT14" i="2"/>
  <c r="E33" i="1"/>
  <c r="AR16" i="2" l="1"/>
  <c r="C55" i="1" s="1"/>
  <c r="AS13" i="2"/>
  <c r="AU14" i="2"/>
  <c r="F33" i="1"/>
  <c r="H33" i="1" s="1"/>
  <c r="H13" i="1" s="1"/>
  <c r="E13" i="1"/>
  <c r="AS16" i="2" l="1"/>
  <c r="C56" i="1" s="1"/>
  <c r="AT13" i="2"/>
  <c r="AV14" i="2"/>
  <c r="F13" i="1"/>
  <c r="D34" i="1"/>
  <c r="E34" i="1" s="1"/>
  <c r="AT16" i="2" l="1"/>
  <c r="C57" i="1" s="1"/>
  <c r="AU13" i="2"/>
  <c r="AW14" i="2"/>
  <c r="F34" i="1"/>
  <c r="D35" i="1" s="1"/>
  <c r="AU16" i="2" l="1"/>
  <c r="C58" i="1" s="1"/>
  <c r="AV13" i="2"/>
  <c r="H34" i="1"/>
  <c r="E35" i="1"/>
  <c r="F35" i="1" s="1"/>
  <c r="D36" i="1" s="1"/>
  <c r="AX14" i="2"/>
  <c r="AV16" i="2" l="1"/>
  <c r="C59" i="1" s="1"/>
  <c r="AW13" i="2"/>
  <c r="H35" i="1"/>
  <c r="E36" i="1"/>
  <c r="AY14" i="2"/>
  <c r="AW16" i="2" l="1"/>
  <c r="C60" i="1" s="1"/>
  <c r="AX13" i="2"/>
  <c r="F36" i="1"/>
  <c r="D37" i="1" s="1"/>
  <c r="AZ14" i="2"/>
  <c r="AX16" i="2" l="1"/>
  <c r="C61" i="1" s="1"/>
  <c r="AY13" i="2"/>
  <c r="E37" i="1"/>
  <c r="H36" i="1"/>
  <c r="BA14" i="2"/>
  <c r="AY16" i="2" l="1"/>
  <c r="C62" i="1" s="1"/>
  <c r="AZ13" i="2"/>
  <c r="F37" i="1"/>
  <c r="D38" i="1" s="1"/>
  <c r="BB14" i="2"/>
  <c r="AZ16" i="2" l="1"/>
  <c r="C63" i="1" s="1"/>
  <c r="BA13" i="2"/>
  <c r="E38" i="1"/>
  <c r="H37" i="1"/>
  <c r="BC14" i="2"/>
  <c r="BA16" i="2" l="1"/>
  <c r="C64" i="1" s="1"/>
  <c r="BB13" i="2"/>
  <c r="F38" i="1"/>
  <c r="D39" i="1" s="1"/>
  <c r="BD14" i="2"/>
  <c r="BB16" i="2" l="1"/>
  <c r="C65" i="1" s="1"/>
  <c r="BC13" i="2"/>
  <c r="E39" i="1"/>
  <c r="F39" i="1" s="1"/>
  <c r="H38" i="1"/>
  <c r="BE14" i="2"/>
  <c r="D40" i="1" l="1"/>
  <c r="H39" i="1"/>
  <c r="BC16" i="2"/>
  <c r="C66" i="1" s="1"/>
  <c r="BD13" i="2"/>
  <c r="E40" i="1"/>
  <c r="BF14" i="2"/>
  <c r="BD16" i="2" l="1"/>
  <c r="C67" i="1" s="1"/>
  <c r="BE13" i="2"/>
  <c r="F40" i="1"/>
  <c r="D41" i="1" s="1"/>
  <c r="BG14" i="2"/>
  <c r="H40" i="1" l="1"/>
  <c r="BE16" i="2"/>
  <c r="C68" i="1" s="1"/>
  <c r="BF13" i="2"/>
  <c r="E41" i="1"/>
  <c r="BH14" i="2"/>
  <c r="BF16" i="2" l="1"/>
  <c r="C69" i="1" s="1"/>
  <c r="BG13" i="2"/>
  <c r="F41" i="1"/>
  <c r="D42" i="1" s="1"/>
  <c r="BI14" i="2"/>
  <c r="H41" i="1" l="1"/>
  <c r="BG16" i="2"/>
  <c r="C70" i="1" s="1"/>
  <c r="BH13" i="2"/>
  <c r="E42" i="1"/>
  <c r="BJ14" i="2"/>
  <c r="BH16" i="2" l="1"/>
  <c r="C71" i="1" s="1"/>
  <c r="BI13" i="2"/>
  <c r="F42" i="1"/>
  <c r="D43" i="1" s="1"/>
  <c r="BK14" i="2"/>
  <c r="H42" i="1" l="1"/>
  <c r="BI16" i="2"/>
  <c r="C72" i="1" s="1"/>
  <c r="BJ13" i="2"/>
  <c r="BL14" i="2"/>
  <c r="E43" i="1"/>
  <c r="BJ16" i="2" l="1"/>
  <c r="C73" i="1" s="1"/>
  <c r="BK13" i="2"/>
  <c r="F43" i="1"/>
  <c r="D44" i="1" s="1"/>
  <c r="H43" i="1" l="1"/>
  <c r="BK16" i="2"/>
  <c r="BL13" i="2"/>
  <c r="BL16" i="2" s="1"/>
  <c r="E44" i="1"/>
  <c r="F44" i="1" l="1"/>
  <c r="D45" i="1" s="1"/>
  <c r="H44" i="1" l="1"/>
  <c r="E45" i="1"/>
  <c r="F45" i="1" l="1"/>
  <c r="D46" i="1" s="1"/>
  <c r="H45" i="1" l="1"/>
  <c r="E46" i="1"/>
  <c r="F46" i="1" l="1"/>
  <c r="D47" i="1" s="1"/>
  <c r="H46" i="1" l="1"/>
  <c r="E47" i="1"/>
  <c r="F47" i="1" l="1"/>
  <c r="D48" i="1" s="1"/>
  <c r="H47" i="1" l="1"/>
  <c r="E48" i="1"/>
  <c r="F48" i="1" l="1"/>
  <c r="D49" i="1" s="1"/>
  <c r="H48" i="1" l="1"/>
  <c r="E49" i="1"/>
  <c r="F49" i="1" l="1"/>
  <c r="D50" i="1" s="1"/>
  <c r="H49" i="1" l="1"/>
  <c r="E50" i="1"/>
  <c r="F50" i="1" l="1"/>
  <c r="D51" i="1" s="1"/>
  <c r="H50" i="1" l="1"/>
  <c r="E51" i="1"/>
  <c r="F51" i="1" l="1"/>
  <c r="D52" i="1" s="1"/>
  <c r="H51" i="1" l="1"/>
  <c r="E52" i="1"/>
  <c r="F52" i="1" l="1"/>
  <c r="D53" i="1" s="1"/>
  <c r="H52" i="1" l="1"/>
  <c r="E53" i="1"/>
  <c r="F53" i="1" l="1"/>
  <c r="D54" i="1" s="1"/>
  <c r="H53" i="1" l="1"/>
  <c r="E54" i="1"/>
  <c r="F54" i="1" l="1"/>
  <c r="D55" i="1" s="1"/>
  <c r="H54" i="1" l="1"/>
  <c r="E55" i="1"/>
  <c r="F55" i="1" l="1"/>
  <c r="D56" i="1" s="1"/>
  <c r="H55" i="1" l="1"/>
  <c r="E56" i="1"/>
  <c r="F56" i="1" l="1"/>
  <c r="D57" i="1" s="1"/>
  <c r="H56" i="1" l="1"/>
  <c r="E57" i="1"/>
  <c r="F57" i="1" l="1"/>
  <c r="D58" i="1" s="1"/>
  <c r="H57" i="1" l="1"/>
  <c r="E58" i="1"/>
  <c r="F58" i="1" l="1"/>
  <c r="D59" i="1" s="1"/>
  <c r="E59" i="1" l="1"/>
  <c r="H58" i="1"/>
  <c r="F59" i="1" l="1"/>
  <c r="D60" i="1" s="1"/>
  <c r="E60" i="1" l="1"/>
  <c r="H59" i="1"/>
  <c r="F60" i="1" l="1"/>
  <c r="D61" i="1" s="1"/>
  <c r="E61" i="1" l="1"/>
  <c r="H60" i="1"/>
  <c r="F61" i="1" l="1"/>
  <c r="D62" i="1" s="1"/>
  <c r="E62" i="1" l="1"/>
  <c r="H61" i="1"/>
  <c r="F62" i="1" l="1"/>
  <c r="D63" i="1" s="1"/>
  <c r="E63" i="1" l="1"/>
  <c r="H62" i="1"/>
  <c r="F63" i="1" l="1"/>
  <c r="D64" i="1" s="1"/>
  <c r="E64" i="1" l="1"/>
  <c r="H63" i="1"/>
  <c r="F64" i="1" l="1"/>
  <c r="D65" i="1" s="1"/>
  <c r="E65" i="1" l="1"/>
  <c r="H64" i="1"/>
  <c r="F65" i="1" l="1"/>
  <c r="D66" i="1" s="1"/>
  <c r="E66" i="1" l="1"/>
  <c r="H65" i="1"/>
  <c r="F66" i="1" l="1"/>
  <c r="D67" i="1" s="1"/>
  <c r="E67" i="1" l="1"/>
  <c r="H66" i="1"/>
  <c r="F67" i="1" l="1"/>
  <c r="D68" i="1" s="1"/>
  <c r="E68" i="1" l="1"/>
  <c r="H67" i="1"/>
  <c r="F68" i="1" l="1"/>
  <c r="D69" i="1" s="1"/>
  <c r="E69" i="1" l="1"/>
  <c r="H68" i="1"/>
  <c r="F69" i="1" l="1"/>
  <c r="D70" i="1" s="1"/>
  <c r="E70" i="1" s="1"/>
  <c r="F70" i="1" l="1"/>
  <c r="D71" i="1" s="1"/>
  <c r="H69" i="1"/>
  <c r="H70" i="1" l="1"/>
  <c r="E71" i="1"/>
  <c r="F71" i="1" l="1"/>
  <c r="D72" i="1" s="1"/>
  <c r="E72" i="1" l="1"/>
  <c r="H71" i="1"/>
  <c r="F72" i="1" l="1"/>
  <c r="D73" i="1" s="1"/>
  <c r="E73" i="1" s="1"/>
  <c r="F73" i="1" l="1"/>
  <c r="H73" i="1" s="1"/>
  <c r="H72" i="1"/>
</calcChain>
</file>

<file path=xl/sharedStrings.xml><?xml version="1.0" encoding="utf-8"?>
<sst xmlns="http://schemas.openxmlformats.org/spreadsheetml/2006/main" count="18" uniqueCount="18">
  <si>
    <t>اصل وام</t>
  </si>
  <si>
    <t>تعداد اقساط</t>
  </si>
  <si>
    <t>نرخ بهره موثر</t>
  </si>
  <si>
    <t>اضافه پرداختی</t>
  </si>
  <si>
    <t>تاریخ اخذ وام</t>
  </si>
  <si>
    <t>فاصله اقساط(به ماه)</t>
  </si>
  <si>
    <t>اطلاعات وام</t>
  </si>
  <si>
    <t>سال</t>
  </si>
  <si>
    <t>ماه</t>
  </si>
  <si>
    <t>روز</t>
  </si>
  <si>
    <t>تاریخ</t>
  </si>
  <si>
    <t>سال پایه</t>
  </si>
  <si>
    <t xml:space="preserve">نرخ سود </t>
  </si>
  <si>
    <t>محاسبات سود تحقق یافته</t>
  </si>
  <si>
    <t>شرح وام(شماره تسهیلات )</t>
  </si>
  <si>
    <t>1391/02/16</t>
  </si>
  <si>
    <t xml:space="preserve">  www.irhesabdaran.ir </t>
  </si>
  <si>
    <t>www.irhesabdaran.ir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</si>
</sst>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8"/>
    </font>
    <font>
      <sz val="8"/>
      <name val="Arial"/>
      <family val="2"/>
    </font>
    <font>
      <sz val="12"/>
      <name val="B Koodak"/>
      <charset val="178"/>
    </font>
    <font>
      <sz val="12"/>
      <name val="B Titr"/>
      <charset val="178"/>
    </font>
    <font>
      <b/>
      <sz val="12"/>
      <name val="B Titr"/>
      <charset val="178"/>
    </font>
    <font>
      <sz val="14"/>
      <name val="B Titr"/>
      <charset val="178"/>
    </font>
    <font>
      <sz val="15"/>
      <name val="B Titr"/>
      <charset val="178"/>
    </font>
    <font>
      <sz val="10"/>
      <name val="B Titr"/>
      <charset val="178"/>
    </font>
    <font>
      <b/>
      <sz val="9"/>
      <name val="B Titr"/>
      <charset val="178"/>
    </font>
    <font>
      <sz val="9"/>
      <name val="B Titr"/>
      <charset val="178"/>
    </font>
    <font>
      <b/>
      <sz val="10"/>
      <name val="B Titr"/>
      <charset val="178"/>
    </font>
    <font>
      <sz val="11"/>
      <name val="B Titr"/>
      <charset val="178"/>
    </font>
    <font>
      <sz val="26"/>
      <color theme="3" tint="-0.499984740745262"/>
      <name val="Arial"/>
      <family val="2"/>
    </font>
    <font>
      <sz val="11"/>
      <color theme="0"/>
      <name val="Arial"/>
      <family val="2"/>
      <charset val="178"/>
      <scheme val="minor"/>
    </font>
    <font>
      <u/>
      <sz val="10"/>
      <color theme="10"/>
      <name val="Arial"/>
      <family val="2"/>
    </font>
    <font>
      <u/>
      <sz val="24"/>
      <color theme="10"/>
      <name val="Arial"/>
      <family val="2"/>
    </font>
    <font>
      <sz val="24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9" fontId="7" fillId="2" borderId="1" xfId="0" applyNumberFormat="1" applyFont="1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9" fontId="7" fillId="2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 vertical="center"/>
    </xf>
    <xf numFmtId="0" fontId="16" fillId="4" borderId="0" xfId="1" applyFont="1" applyBorder="1" applyAlignment="1">
      <alignment horizontal="center" vertical="center"/>
    </xf>
  </cellXfs>
  <cellStyles count="3">
    <cellStyle name="Accent6" xfId="1" builtinId="49"/>
    <cellStyle name="Hyperlink" xfId="2" builtinId="8"/>
    <cellStyle name="Normal" xfId="0" builtinId="0"/>
  </cellStyles>
  <dxfs count="22"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5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5"/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rhesabdaran.ir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74"/>
  <sheetViews>
    <sheetView showZeros="0" rightToLeft="1" tabSelected="1" workbookViewId="0">
      <selection activeCell="B11" sqref="B11:H11"/>
    </sheetView>
  </sheetViews>
  <sheetFormatPr defaultRowHeight="12.75" x14ac:dyDescent="0.2"/>
  <cols>
    <col min="1" max="1" width="9.140625" style="3"/>
    <col min="2" max="2" width="16.5703125" style="3" bestFit="1" customWidth="1"/>
    <col min="3" max="3" width="14.85546875" style="3" bestFit="1" customWidth="1"/>
    <col min="4" max="4" width="16.42578125" style="3" bestFit="1" customWidth="1"/>
    <col min="5" max="5" width="17" style="3" bestFit="1" customWidth="1"/>
    <col min="6" max="6" width="16.140625" style="3" bestFit="1" customWidth="1"/>
    <col min="7" max="7" width="13.5703125" style="3" bestFit="1" customWidth="1"/>
    <col min="8" max="8" width="17.5703125" style="3" bestFit="1" customWidth="1"/>
    <col min="9" max="16384" width="9.140625" style="3"/>
  </cols>
  <sheetData>
    <row r="2" spans="2:17" ht="31.5" x14ac:dyDescent="0.85">
      <c r="B2" s="33" t="s">
        <v>6</v>
      </c>
      <c r="C2" s="33"/>
      <c r="D2" s="6"/>
      <c r="F2" s="34" t="str">
        <f>IF(C5&gt;0,"محاسبه بهره",0)</f>
        <v>محاسبه بهره</v>
      </c>
      <c r="G2" s="34"/>
      <c r="H2" s="34"/>
      <c r="I2" s="36" t="s">
        <v>13</v>
      </c>
      <c r="J2" s="37"/>
      <c r="K2" s="37"/>
      <c r="L2" s="37"/>
      <c r="M2" s="37"/>
      <c r="N2" s="38"/>
      <c r="P2" s="3">
        <v>1</v>
      </c>
      <c r="Q2" s="3">
        <v>1</v>
      </c>
    </row>
    <row r="3" spans="2:17" ht="28.5" x14ac:dyDescent="0.75">
      <c r="B3" s="14" t="s">
        <v>14</v>
      </c>
      <c r="C3" s="17"/>
      <c r="F3" s="8" t="str">
        <f>IF(C5&gt;0,"سود",0)</f>
        <v>سود</v>
      </c>
      <c r="G3" s="35">
        <f>G5-C5</f>
        <v>28070500</v>
      </c>
      <c r="H3" s="35"/>
      <c r="I3" s="39"/>
      <c r="J3" s="40"/>
      <c r="K3" s="40"/>
      <c r="L3" s="40"/>
      <c r="M3" s="40"/>
      <c r="N3" s="41"/>
      <c r="P3" s="3">
        <v>2</v>
      </c>
      <c r="Q3" s="3">
        <v>2</v>
      </c>
    </row>
    <row r="4" spans="2:17" ht="28.5" x14ac:dyDescent="0.75">
      <c r="B4" s="15" t="s">
        <v>4</v>
      </c>
      <c r="C4" s="18" t="s">
        <v>15</v>
      </c>
      <c r="F4" s="8" t="str">
        <f>IF(C5&gt;0,"مبلغ هر قسط",0)</f>
        <v>مبلغ هر قسط</v>
      </c>
      <c r="G4" s="35">
        <f>ROUND(IF(C5=0,0,C5*C9*((1+C9)^C6)/((1+C9)^C6-1)),0)</f>
        <v>2161410</v>
      </c>
      <c r="H4" s="35"/>
      <c r="I4" s="42"/>
      <c r="J4" s="43"/>
      <c r="K4" s="43"/>
      <c r="L4" s="43"/>
      <c r="M4" s="43"/>
      <c r="N4" s="44"/>
      <c r="P4" s="3">
        <v>3</v>
      </c>
      <c r="Q4" s="3">
        <v>3</v>
      </c>
    </row>
    <row r="5" spans="2:17" ht="28.5" x14ac:dyDescent="0.75">
      <c r="B5" s="15" t="s">
        <v>0</v>
      </c>
      <c r="C5" s="19">
        <v>80000000</v>
      </c>
      <c r="F5" s="8" t="str">
        <f>IF(C5&gt;0,"جمع اصل و سود",0)</f>
        <v>جمع اصل و سود</v>
      </c>
      <c r="G5" s="35">
        <f>ROUND(C6*G4,0)</f>
        <v>108070500</v>
      </c>
      <c r="H5" s="35"/>
      <c r="I5" s="42"/>
      <c r="J5" s="43"/>
      <c r="K5" s="43"/>
      <c r="L5" s="43"/>
      <c r="M5" s="43"/>
      <c r="N5" s="44"/>
      <c r="P5" s="3">
        <v>4</v>
      </c>
      <c r="Q5" s="3">
        <v>4</v>
      </c>
    </row>
    <row r="6" spans="2:17" ht="20.25" x14ac:dyDescent="0.55000000000000004">
      <c r="B6" s="15" t="s">
        <v>1</v>
      </c>
      <c r="C6" s="20">
        <v>50</v>
      </c>
      <c r="I6" s="42"/>
      <c r="J6" s="43"/>
      <c r="K6" s="43"/>
      <c r="L6" s="43"/>
      <c r="M6" s="43"/>
      <c r="N6" s="44"/>
      <c r="P6" s="3">
        <v>5</v>
      </c>
      <c r="Q6" s="3">
        <v>5</v>
      </c>
    </row>
    <row r="7" spans="2:17" ht="20.25" x14ac:dyDescent="0.55000000000000004">
      <c r="B7" s="15" t="s">
        <v>12</v>
      </c>
      <c r="C7" s="21">
        <v>0.15</v>
      </c>
      <c r="E7" s="49" t="s">
        <v>17</v>
      </c>
      <c r="F7" s="50"/>
      <c r="G7" s="50"/>
      <c r="I7" s="42"/>
      <c r="J7" s="43"/>
      <c r="K7" s="43"/>
      <c r="L7" s="43"/>
      <c r="M7" s="43"/>
      <c r="N7" s="44"/>
      <c r="P7" s="3">
        <v>6</v>
      </c>
      <c r="Q7" s="3">
        <v>6</v>
      </c>
    </row>
    <row r="8" spans="2:17" ht="20.25" x14ac:dyDescent="0.55000000000000004">
      <c r="B8" s="15" t="s">
        <v>5</v>
      </c>
      <c r="C8" s="20">
        <v>1</v>
      </c>
      <c r="E8" s="50"/>
      <c r="F8" s="50"/>
      <c r="G8" s="50"/>
      <c r="I8" s="42"/>
      <c r="J8" s="43"/>
      <c r="K8" s="43"/>
      <c r="L8" s="43"/>
      <c r="M8" s="43"/>
      <c r="N8" s="44"/>
      <c r="P8" s="3">
        <v>7</v>
      </c>
      <c r="Q8" s="3">
        <v>7</v>
      </c>
    </row>
    <row r="9" spans="2:17" ht="20.25" x14ac:dyDescent="0.55000000000000004">
      <c r="B9" s="15" t="s">
        <v>2</v>
      </c>
      <c r="C9" s="16">
        <f>IF(C7&gt;0,C7/(12/C8),0)</f>
        <v>1.2499999999999999E-2</v>
      </c>
      <c r="I9" s="42"/>
      <c r="J9" s="43"/>
      <c r="K9" s="43"/>
      <c r="L9" s="43"/>
      <c r="M9" s="43"/>
      <c r="N9" s="44"/>
      <c r="P9" s="3">
        <v>8</v>
      </c>
      <c r="Q9" s="3">
        <v>8</v>
      </c>
    </row>
    <row r="10" spans="2:17" ht="20.25" x14ac:dyDescent="0.55000000000000004">
      <c r="B10" s="15" t="s">
        <v>3</v>
      </c>
      <c r="C10" s="20"/>
      <c r="G10" s="2"/>
      <c r="I10" s="42"/>
      <c r="J10" s="43"/>
      <c r="K10" s="43"/>
      <c r="L10" s="43"/>
      <c r="M10" s="43"/>
      <c r="N10" s="44"/>
      <c r="P10" s="3">
        <v>9</v>
      </c>
      <c r="Q10" s="3">
        <v>9</v>
      </c>
    </row>
    <row r="11" spans="2:17" ht="25.5" x14ac:dyDescent="0.7">
      <c r="B11" s="48" t="str">
        <f>IF(C5&gt;0,"تفکیک اصل و فرع اقساط","")</f>
        <v>تفکیک اصل و فرع اقساط</v>
      </c>
      <c r="C11" s="48"/>
      <c r="D11" s="48"/>
      <c r="E11" s="48"/>
      <c r="F11" s="48"/>
      <c r="G11" s="48"/>
      <c r="H11" s="48"/>
      <c r="I11" s="42"/>
      <c r="J11" s="43"/>
      <c r="K11" s="43"/>
      <c r="L11" s="43"/>
      <c r="M11" s="43"/>
      <c r="N11" s="44"/>
      <c r="P11" s="3">
        <v>10</v>
      </c>
      <c r="Q11" s="3">
        <v>10</v>
      </c>
    </row>
    <row r="12" spans="2:17" s="5" customFormat="1" ht="25.5" x14ac:dyDescent="0.7">
      <c r="B12" s="4" t="str">
        <f>IF(C5&gt;0,"شماره قسط","")</f>
        <v>شماره قسط</v>
      </c>
      <c r="C12" s="4" t="str">
        <f>IF(C5&gt;0,"سررسید پرداخت",0)</f>
        <v>سررسید پرداخت</v>
      </c>
      <c r="D12" s="4" t="str">
        <f>IF(C5&gt;0,"مبنای محاسبه سود","")</f>
        <v>مبنای محاسبه سود</v>
      </c>
      <c r="E12" s="4" t="str">
        <f>IF(C5&gt;0,"سود اقساط","")</f>
        <v>سود اقساط</v>
      </c>
      <c r="F12" s="4" t="str">
        <f>IF(C5&gt;0,"اصل اقساط","")</f>
        <v>اصل اقساط</v>
      </c>
      <c r="G12" s="4" t="str">
        <f>IF(C5&gt;0,"اضافه پرداختی","")</f>
        <v>اضافه پرداختی</v>
      </c>
      <c r="H12" s="4" t="str">
        <f>IF(C5&gt;0,"مبلغ اقساط","")</f>
        <v>مبلغ اقساط</v>
      </c>
      <c r="I12" s="42"/>
      <c r="J12" s="43"/>
      <c r="K12" s="43"/>
      <c r="L12" s="43"/>
      <c r="M12" s="43"/>
      <c r="N12" s="44"/>
      <c r="P12" s="3">
        <v>11</v>
      </c>
      <c r="Q12" s="3">
        <v>11</v>
      </c>
    </row>
    <row r="13" spans="2:17" s="5" customFormat="1" ht="25.5" x14ac:dyDescent="0.7">
      <c r="B13" s="4" t="str">
        <f>IF(C5&gt;0,"جمع",0)</f>
        <v>جمع</v>
      </c>
      <c r="C13" s="4"/>
      <c r="D13" s="4"/>
      <c r="E13" s="7">
        <f>IF(C5+C8&lt;&gt;C5,SUM(E14:E33)+SUM(F14:F33)-C5,0)</f>
        <v>-36771800</v>
      </c>
      <c r="F13" s="7">
        <f>IF(C5+C8&lt;&gt;C5,SUM(F14:F33)+C5-SUM(F14:F33),0)</f>
        <v>80000000</v>
      </c>
      <c r="G13" s="7">
        <f>SUM(G14:G33)</f>
        <v>0</v>
      </c>
      <c r="H13" s="7">
        <f>SUM(H14:H33)</f>
        <v>43228200</v>
      </c>
      <c r="I13" s="42"/>
      <c r="J13" s="43"/>
      <c r="K13" s="43"/>
      <c r="L13" s="43"/>
      <c r="M13" s="43"/>
      <c r="N13" s="44"/>
      <c r="P13" s="3">
        <v>12</v>
      </c>
      <c r="Q13" s="3">
        <v>12</v>
      </c>
    </row>
    <row r="14" spans="2:17" ht="18.75" x14ac:dyDescent="0.5">
      <c r="B14" s="9">
        <f>IF($C$6&gt;=P2,Q2,0)</f>
        <v>1</v>
      </c>
      <c r="C14" s="11" t="str">
        <f>IF(B14=P2,'1'!D16,0)</f>
        <v>1391/3/16</v>
      </c>
      <c r="D14" s="10">
        <f>IF(B14=P2,C5,0)</f>
        <v>80000000</v>
      </c>
      <c r="E14" s="10">
        <f t="shared" ref="E14:E33" si="0">ROUND(D14*$C$9,0)</f>
        <v>1000000</v>
      </c>
      <c r="F14" s="10">
        <f>IF(B14=P2,$G$4-E14,0)</f>
        <v>1161410</v>
      </c>
      <c r="G14" s="10">
        <f t="shared" ref="G14:G33" si="1">IF(B14=0,0,$C$10/$C$6)</f>
        <v>0</v>
      </c>
      <c r="H14" s="10">
        <f>E14+F14+G14</f>
        <v>2161410</v>
      </c>
      <c r="I14" s="42"/>
      <c r="J14" s="43"/>
      <c r="K14" s="43"/>
      <c r="L14" s="43"/>
      <c r="M14" s="43"/>
      <c r="N14" s="44"/>
      <c r="P14" s="3">
        <v>13</v>
      </c>
      <c r="Q14" s="3">
        <v>13</v>
      </c>
    </row>
    <row r="15" spans="2:17" ht="18.75" x14ac:dyDescent="0.5">
      <c r="B15" s="9">
        <f t="shared" ref="B15:B74" si="2">IF($C$6&gt;=P3,Q3,0)</f>
        <v>2</v>
      </c>
      <c r="C15" s="11" t="str">
        <f>IF(B15=2,'1'!E16,0)</f>
        <v>1391/4/16</v>
      </c>
      <c r="D15" s="10">
        <f>IF(B15=2,D14-F14,0)</f>
        <v>78838590</v>
      </c>
      <c r="E15" s="10">
        <f t="shared" si="0"/>
        <v>985482</v>
      </c>
      <c r="F15" s="10">
        <f>IF(B15=2,$G$4-E15,0)</f>
        <v>1175928</v>
      </c>
      <c r="G15" s="10">
        <f t="shared" si="1"/>
        <v>0</v>
      </c>
      <c r="H15" s="10">
        <f t="shared" ref="H15:H33" si="3">E15+F15+G15</f>
        <v>2161410</v>
      </c>
      <c r="I15" s="42"/>
      <c r="J15" s="43"/>
      <c r="K15" s="43"/>
      <c r="L15" s="43"/>
      <c r="M15" s="43"/>
      <c r="N15" s="44"/>
      <c r="P15" s="3">
        <v>14</v>
      </c>
      <c r="Q15" s="3">
        <v>14</v>
      </c>
    </row>
    <row r="16" spans="2:17" ht="18.75" x14ac:dyDescent="0.5">
      <c r="B16" s="9">
        <f t="shared" si="2"/>
        <v>3</v>
      </c>
      <c r="C16" s="11" t="str">
        <f>IF(B16=3,'1'!F16,0)</f>
        <v>1391/5/16</v>
      </c>
      <c r="D16" s="10">
        <f>IF(B16=3,D15-F15,0)</f>
        <v>77662662</v>
      </c>
      <c r="E16" s="10">
        <f t="shared" si="0"/>
        <v>970783</v>
      </c>
      <c r="F16" s="10">
        <f>IF(B16=3,$G$4-E16,0)</f>
        <v>1190627</v>
      </c>
      <c r="G16" s="10">
        <f t="shared" si="1"/>
        <v>0</v>
      </c>
      <c r="H16" s="10">
        <f t="shared" si="3"/>
        <v>2161410</v>
      </c>
      <c r="I16" s="42"/>
      <c r="J16" s="43"/>
      <c r="K16" s="43"/>
      <c r="L16" s="43"/>
      <c r="M16" s="43"/>
      <c r="N16" s="44"/>
      <c r="P16" s="3">
        <v>15</v>
      </c>
      <c r="Q16" s="3">
        <v>15</v>
      </c>
    </row>
    <row r="17" spans="2:17" ht="18.75" x14ac:dyDescent="0.5">
      <c r="B17" s="9">
        <f t="shared" si="2"/>
        <v>4</v>
      </c>
      <c r="C17" s="11" t="str">
        <f>IF(B17=4,'1'!G16,0)</f>
        <v>1391/6/16</v>
      </c>
      <c r="D17" s="10">
        <f>IF(B17=4,D16-F16,0)</f>
        <v>76472035</v>
      </c>
      <c r="E17" s="10">
        <f t="shared" si="0"/>
        <v>955900</v>
      </c>
      <c r="F17" s="10">
        <f>IF(B17=4,$G$4-E17,0)</f>
        <v>1205510</v>
      </c>
      <c r="G17" s="10">
        <f t="shared" si="1"/>
        <v>0</v>
      </c>
      <c r="H17" s="10">
        <f t="shared" si="3"/>
        <v>2161410</v>
      </c>
      <c r="I17" s="42"/>
      <c r="J17" s="43"/>
      <c r="K17" s="43"/>
      <c r="L17" s="43"/>
      <c r="M17" s="43"/>
      <c r="N17" s="44"/>
      <c r="P17" s="3">
        <v>16</v>
      </c>
      <c r="Q17" s="3">
        <v>16</v>
      </c>
    </row>
    <row r="18" spans="2:17" ht="18.75" x14ac:dyDescent="0.5">
      <c r="B18" s="9">
        <f t="shared" si="2"/>
        <v>5</v>
      </c>
      <c r="C18" s="11" t="str">
        <f>IF(B18=5,'1'!H16,0)</f>
        <v>1391/7/16</v>
      </c>
      <c r="D18" s="10">
        <f>IF(B18=5,D17-F17,0)</f>
        <v>75266525</v>
      </c>
      <c r="E18" s="10">
        <f t="shared" si="0"/>
        <v>940832</v>
      </c>
      <c r="F18" s="10">
        <f>IF(B18=5,$G$4-E18,0)</f>
        <v>1220578</v>
      </c>
      <c r="G18" s="10">
        <f t="shared" si="1"/>
        <v>0</v>
      </c>
      <c r="H18" s="10">
        <f t="shared" si="3"/>
        <v>2161410</v>
      </c>
      <c r="I18" s="42"/>
      <c r="J18" s="43"/>
      <c r="K18" s="43"/>
      <c r="L18" s="43"/>
      <c r="M18" s="43"/>
      <c r="N18" s="44"/>
      <c r="P18" s="3">
        <v>17</v>
      </c>
      <c r="Q18" s="3">
        <v>17</v>
      </c>
    </row>
    <row r="19" spans="2:17" ht="18.75" x14ac:dyDescent="0.5">
      <c r="B19" s="9">
        <f t="shared" si="2"/>
        <v>6</v>
      </c>
      <c r="C19" s="11" t="str">
        <f>IF(B19=6,'1'!I16,0)</f>
        <v>1391/8/16</v>
      </c>
      <c r="D19" s="10">
        <f>IF(B19=6,D18-F18,0)</f>
        <v>74045947</v>
      </c>
      <c r="E19" s="10">
        <f t="shared" si="0"/>
        <v>925574</v>
      </c>
      <c r="F19" s="10">
        <f>IF(B19=6,$G$4-E19,0)</f>
        <v>1235836</v>
      </c>
      <c r="G19" s="10">
        <f t="shared" si="1"/>
        <v>0</v>
      </c>
      <c r="H19" s="10">
        <f t="shared" si="3"/>
        <v>2161410</v>
      </c>
      <c r="I19" s="42"/>
      <c r="J19" s="43"/>
      <c r="K19" s="43"/>
      <c r="L19" s="43"/>
      <c r="M19" s="43"/>
      <c r="N19" s="44"/>
      <c r="P19" s="3">
        <v>18</v>
      </c>
      <c r="Q19" s="3">
        <v>18</v>
      </c>
    </row>
    <row r="20" spans="2:17" ht="18.75" x14ac:dyDescent="0.5">
      <c r="B20" s="9">
        <f t="shared" si="2"/>
        <v>7</v>
      </c>
      <c r="C20" s="11" t="str">
        <f>IF(B20=7,'1'!J16,0)</f>
        <v>1391/9/16</v>
      </c>
      <c r="D20" s="10">
        <f>IF(B20=7,D19-F19,0)</f>
        <v>72810111</v>
      </c>
      <c r="E20" s="10">
        <f t="shared" si="0"/>
        <v>910126</v>
      </c>
      <c r="F20" s="10">
        <f>IF(B20=7,$G$4-E20,0)</f>
        <v>1251284</v>
      </c>
      <c r="G20" s="10">
        <f t="shared" si="1"/>
        <v>0</v>
      </c>
      <c r="H20" s="10">
        <f t="shared" si="3"/>
        <v>2161410</v>
      </c>
      <c r="I20" s="42"/>
      <c r="J20" s="43"/>
      <c r="K20" s="43"/>
      <c r="L20" s="43"/>
      <c r="M20" s="43"/>
      <c r="N20" s="44"/>
      <c r="P20" s="3">
        <v>19</v>
      </c>
      <c r="Q20" s="3">
        <v>19</v>
      </c>
    </row>
    <row r="21" spans="2:17" ht="18.75" x14ac:dyDescent="0.5">
      <c r="B21" s="9">
        <f t="shared" si="2"/>
        <v>8</v>
      </c>
      <c r="C21" s="11" t="str">
        <f>IF(B21=8,'1'!K16,0)</f>
        <v>1391/10/16</v>
      </c>
      <c r="D21" s="10">
        <f>IF(B21=8,D20-F20,0)</f>
        <v>71558827</v>
      </c>
      <c r="E21" s="10">
        <f t="shared" si="0"/>
        <v>894485</v>
      </c>
      <c r="F21" s="10">
        <f>IF(B21=8,$G$4-E21,0)</f>
        <v>1266925</v>
      </c>
      <c r="G21" s="10">
        <f t="shared" si="1"/>
        <v>0</v>
      </c>
      <c r="H21" s="10">
        <f t="shared" si="3"/>
        <v>2161410</v>
      </c>
      <c r="I21" s="42"/>
      <c r="J21" s="43"/>
      <c r="K21" s="43"/>
      <c r="L21" s="43"/>
      <c r="M21" s="43"/>
      <c r="N21" s="44"/>
      <c r="P21" s="3">
        <v>20</v>
      </c>
      <c r="Q21" s="3">
        <v>20</v>
      </c>
    </row>
    <row r="22" spans="2:17" ht="18.75" x14ac:dyDescent="0.5">
      <c r="B22" s="9">
        <f t="shared" si="2"/>
        <v>9</v>
      </c>
      <c r="C22" s="11" t="str">
        <f>IF(B22=9,'1'!L16,0)</f>
        <v>1391/11/16</v>
      </c>
      <c r="D22" s="10">
        <f>IF(B22=9,D21-F21,0)</f>
        <v>70291902</v>
      </c>
      <c r="E22" s="10">
        <f t="shared" si="0"/>
        <v>878649</v>
      </c>
      <c r="F22" s="10">
        <f>IF(B22=9,$G$4-E22,0)</f>
        <v>1282761</v>
      </c>
      <c r="G22" s="10">
        <f t="shared" si="1"/>
        <v>0</v>
      </c>
      <c r="H22" s="10">
        <f t="shared" si="3"/>
        <v>2161410</v>
      </c>
      <c r="I22" s="42"/>
      <c r="J22" s="43"/>
      <c r="K22" s="43"/>
      <c r="L22" s="43"/>
      <c r="M22" s="43"/>
      <c r="N22" s="44"/>
      <c r="P22" s="3">
        <v>21</v>
      </c>
      <c r="Q22" s="3">
        <v>21</v>
      </c>
    </row>
    <row r="23" spans="2:17" ht="18.75" x14ac:dyDescent="0.5">
      <c r="B23" s="9">
        <f t="shared" si="2"/>
        <v>10</v>
      </c>
      <c r="C23" s="11" t="str">
        <f>IF(B23=10,'1'!M16,0)</f>
        <v>1391/12/16</v>
      </c>
      <c r="D23" s="10">
        <f>IF(B23=10,D22-F22,0)</f>
        <v>69009141</v>
      </c>
      <c r="E23" s="10">
        <f t="shared" si="0"/>
        <v>862614</v>
      </c>
      <c r="F23" s="10">
        <f>IF(B23=10,$G$4-E23,0)</f>
        <v>1298796</v>
      </c>
      <c r="G23" s="10">
        <f t="shared" si="1"/>
        <v>0</v>
      </c>
      <c r="H23" s="10">
        <f t="shared" si="3"/>
        <v>2161410</v>
      </c>
      <c r="I23" s="42"/>
      <c r="J23" s="43"/>
      <c r="K23" s="43"/>
      <c r="L23" s="43"/>
      <c r="M23" s="43"/>
      <c r="N23" s="44"/>
      <c r="P23" s="3">
        <v>22</v>
      </c>
      <c r="Q23" s="3">
        <v>22</v>
      </c>
    </row>
    <row r="24" spans="2:17" ht="18.75" x14ac:dyDescent="0.5">
      <c r="B24" s="9">
        <f t="shared" si="2"/>
        <v>11</v>
      </c>
      <c r="C24" s="11" t="str">
        <f>IF(B24=11,'1'!N16,0)</f>
        <v>1392/1/16</v>
      </c>
      <c r="D24" s="10">
        <f>IF(B24=11,D23-F23,0)</f>
        <v>67710345</v>
      </c>
      <c r="E24" s="10">
        <f t="shared" si="0"/>
        <v>846379</v>
      </c>
      <c r="F24" s="10">
        <f>IF(B24=11,$G$4-E24,0)</f>
        <v>1315031</v>
      </c>
      <c r="G24" s="10">
        <f t="shared" si="1"/>
        <v>0</v>
      </c>
      <c r="H24" s="10">
        <f t="shared" si="3"/>
        <v>2161410</v>
      </c>
      <c r="I24" s="42"/>
      <c r="J24" s="43"/>
      <c r="K24" s="43"/>
      <c r="L24" s="43"/>
      <c r="M24" s="43"/>
      <c r="N24" s="44"/>
      <c r="P24" s="3">
        <v>23</v>
      </c>
      <c r="Q24" s="3">
        <v>23</v>
      </c>
    </row>
    <row r="25" spans="2:17" ht="18.75" x14ac:dyDescent="0.5">
      <c r="B25" s="9">
        <f t="shared" si="2"/>
        <v>12</v>
      </c>
      <c r="C25" s="11" t="str">
        <f>IF(B25=12,'1'!O16,0)</f>
        <v>1392/2/16</v>
      </c>
      <c r="D25" s="10">
        <f>IF(B25=12,D24-F24,0)</f>
        <v>66395314</v>
      </c>
      <c r="E25" s="10">
        <f t="shared" si="0"/>
        <v>829941</v>
      </c>
      <c r="F25" s="10">
        <f>IF(B25=12,$G$4-E25,0)</f>
        <v>1331469</v>
      </c>
      <c r="G25" s="10">
        <f t="shared" si="1"/>
        <v>0</v>
      </c>
      <c r="H25" s="10">
        <f t="shared" si="3"/>
        <v>2161410</v>
      </c>
      <c r="I25" s="42"/>
      <c r="J25" s="43"/>
      <c r="K25" s="43"/>
      <c r="L25" s="43"/>
      <c r="M25" s="43"/>
      <c r="N25" s="44"/>
      <c r="P25" s="3">
        <v>24</v>
      </c>
      <c r="Q25" s="3">
        <v>24</v>
      </c>
    </row>
    <row r="26" spans="2:17" ht="18.75" x14ac:dyDescent="0.5">
      <c r="B26" s="9">
        <f t="shared" si="2"/>
        <v>13</v>
      </c>
      <c r="C26" s="11" t="str">
        <f>IF(B26=13,'1'!P16,0)</f>
        <v>1392/3/16</v>
      </c>
      <c r="D26" s="10">
        <f>IF(B26=13,D25-F25,0)</f>
        <v>65063845</v>
      </c>
      <c r="E26" s="10">
        <f t="shared" si="0"/>
        <v>813298</v>
      </c>
      <c r="F26" s="10">
        <f>IF(B26=13,$G$4-E26,0)</f>
        <v>1348112</v>
      </c>
      <c r="G26" s="10">
        <f t="shared" si="1"/>
        <v>0</v>
      </c>
      <c r="H26" s="10">
        <f t="shared" si="3"/>
        <v>2161410</v>
      </c>
      <c r="I26" s="42"/>
      <c r="J26" s="43"/>
      <c r="K26" s="43"/>
      <c r="L26" s="43"/>
      <c r="M26" s="43"/>
      <c r="N26" s="44"/>
      <c r="P26" s="3">
        <v>25</v>
      </c>
      <c r="Q26" s="3">
        <v>25</v>
      </c>
    </row>
    <row r="27" spans="2:17" ht="18.75" x14ac:dyDescent="0.5">
      <c r="B27" s="9">
        <f t="shared" si="2"/>
        <v>14</v>
      </c>
      <c r="C27" s="11" t="str">
        <f>IF(B27=14,'1'!Q16,0)</f>
        <v>1392/4/16</v>
      </c>
      <c r="D27" s="10">
        <f>IF(B27=14,D26-F26,0)</f>
        <v>63715733</v>
      </c>
      <c r="E27" s="10">
        <f t="shared" si="0"/>
        <v>796447</v>
      </c>
      <c r="F27" s="10">
        <f>IF(B27=14,$G$4-E27,0)</f>
        <v>1364963</v>
      </c>
      <c r="G27" s="10">
        <f t="shared" si="1"/>
        <v>0</v>
      </c>
      <c r="H27" s="10">
        <f t="shared" si="3"/>
        <v>2161410</v>
      </c>
      <c r="I27" s="42"/>
      <c r="J27" s="43"/>
      <c r="K27" s="43"/>
      <c r="L27" s="43"/>
      <c r="M27" s="43"/>
      <c r="N27" s="44"/>
      <c r="P27" s="3">
        <v>26</v>
      </c>
      <c r="Q27" s="3">
        <v>26</v>
      </c>
    </row>
    <row r="28" spans="2:17" ht="18.75" x14ac:dyDescent="0.5">
      <c r="B28" s="9">
        <f t="shared" si="2"/>
        <v>15</v>
      </c>
      <c r="C28" s="11" t="str">
        <f>IF(B28=15,'1'!R16,0)</f>
        <v>1392/5/16</v>
      </c>
      <c r="D28" s="10">
        <f>IF(B28=15,D27-F27,0)</f>
        <v>62350770</v>
      </c>
      <c r="E28" s="10">
        <f t="shared" si="0"/>
        <v>779385</v>
      </c>
      <c r="F28" s="10">
        <f>IF(B28=15,$G$4-E28,0)</f>
        <v>1382025</v>
      </c>
      <c r="G28" s="10">
        <f t="shared" si="1"/>
        <v>0</v>
      </c>
      <c r="H28" s="10">
        <f t="shared" si="3"/>
        <v>2161410</v>
      </c>
      <c r="I28" s="42"/>
      <c r="J28" s="43"/>
      <c r="K28" s="43"/>
      <c r="L28" s="43"/>
      <c r="M28" s="43"/>
      <c r="N28" s="44"/>
      <c r="P28" s="3">
        <v>27</v>
      </c>
      <c r="Q28" s="3">
        <v>27</v>
      </c>
    </row>
    <row r="29" spans="2:17" ht="18.75" x14ac:dyDescent="0.5">
      <c r="B29" s="9">
        <f t="shared" si="2"/>
        <v>16</v>
      </c>
      <c r="C29" s="11" t="str">
        <f>IF(B29=16,'1'!S16,0)</f>
        <v>1392/6/16</v>
      </c>
      <c r="D29" s="10">
        <f>IF(B29=16,D28-F28,0)</f>
        <v>60968745</v>
      </c>
      <c r="E29" s="10">
        <f t="shared" si="0"/>
        <v>762109</v>
      </c>
      <c r="F29" s="10">
        <f>IF(B29=16,$G$4-E29,0)</f>
        <v>1399301</v>
      </c>
      <c r="G29" s="10">
        <f t="shared" si="1"/>
        <v>0</v>
      </c>
      <c r="H29" s="10">
        <f t="shared" si="3"/>
        <v>2161410</v>
      </c>
      <c r="I29" s="42"/>
      <c r="J29" s="43"/>
      <c r="K29" s="43"/>
      <c r="L29" s="43"/>
      <c r="M29" s="43"/>
      <c r="N29" s="44"/>
      <c r="P29" s="3">
        <v>28</v>
      </c>
      <c r="Q29" s="3">
        <v>28</v>
      </c>
    </row>
    <row r="30" spans="2:17" ht="18.75" x14ac:dyDescent="0.5">
      <c r="B30" s="9">
        <f t="shared" si="2"/>
        <v>17</v>
      </c>
      <c r="C30" s="11" t="str">
        <f>IF(B30=17,'1'!T16,0)</f>
        <v>1392/7/16</v>
      </c>
      <c r="D30" s="10">
        <f>IF(B30=17,D29-F29,0)</f>
        <v>59569444</v>
      </c>
      <c r="E30" s="10">
        <f t="shared" si="0"/>
        <v>744618</v>
      </c>
      <c r="F30" s="10">
        <f>IF(B30=17,$G$4-E30,0)</f>
        <v>1416792</v>
      </c>
      <c r="G30" s="10">
        <f t="shared" si="1"/>
        <v>0</v>
      </c>
      <c r="H30" s="10">
        <f t="shared" si="3"/>
        <v>2161410</v>
      </c>
      <c r="I30" s="42"/>
      <c r="J30" s="43"/>
      <c r="K30" s="43"/>
      <c r="L30" s="43"/>
      <c r="M30" s="43"/>
      <c r="N30" s="44"/>
      <c r="P30" s="3">
        <v>29</v>
      </c>
      <c r="Q30" s="3">
        <v>29</v>
      </c>
    </row>
    <row r="31" spans="2:17" ht="18.75" x14ac:dyDescent="0.5">
      <c r="B31" s="9">
        <f t="shared" si="2"/>
        <v>18</v>
      </c>
      <c r="C31" s="11" t="str">
        <f>IF(B31=18,'1'!U16,0)</f>
        <v>1392/8/16</v>
      </c>
      <c r="D31" s="10">
        <f>IF(B31=18,D30-F30,0)</f>
        <v>58152652</v>
      </c>
      <c r="E31" s="10">
        <f t="shared" si="0"/>
        <v>726908</v>
      </c>
      <c r="F31" s="10">
        <f>IF(B31=18,$G$4-E31,0)</f>
        <v>1434502</v>
      </c>
      <c r="G31" s="10">
        <f t="shared" si="1"/>
        <v>0</v>
      </c>
      <c r="H31" s="10">
        <f t="shared" si="3"/>
        <v>2161410</v>
      </c>
      <c r="I31" s="42"/>
      <c r="J31" s="43"/>
      <c r="K31" s="43"/>
      <c r="L31" s="43"/>
      <c r="M31" s="43"/>
      <c r="N31" s="44"/>
      <c r="P31" s="3">
        <v>30</v>
      </c>
      <c r="Q31" s="3">
        <v>30</v>
      </c>
    </row>
    <row r="32" spans="2:17" ht="18.75" x14ac:dyDescent="0.5">
      <c r="B32" s="9">
        <f t="shared" si="2"/>
        <v>19</v>
      </c>
      <c r="C32" s="11" t="str">
        <f>IF(B32=19,'1'!V16,0)</f>
        <v>1392/9/16</v>
      </c>
      <c r="D32" s="10">
        <f>IF(B32=19,D31-F31,0)</f>
        <v>56718150</v>
      </c>
      <c r="E32" s="10">
        <f t="shared" si="0"/>
        <v>708977</v>
      </c>
      <c r="F32" s="10">
        <f>IF(B32=19,$G$4-E32,0)</f>
        <v>1452433</v>
      </c>
      <c r="G32" s="10">
        <f t="shared" si="1"/>
        <v>0</v>
      </c>
      <c r="H32" s="10">
        <f t="shared" si="3"/>
        <v>2161410</v>
      </c>
      <c r="I32" s="42"/>
      <c r="J32" s="43"/>
      <c r="K32" s="43"/>
      <c r="L32" s="43"/>
      <c r="M32" s="43"/>
      <c r="N32" s="44"/>
      <c r="P32" s="3">
        <v>31</v>
      </c>
      <c r="Q32" s="3">
        <v>31</v>
      </c>
    </row>
    <row r="33" spans="1:17" ht="18.75" x14ac:dyDescent="0.5">
      <c r="B33" s="9">
        <f t="shared" si="2"/>
        <v>20</v>
      </c>
      <c r="C33" s="11" t="str">
        <f>IF(B33=20,'1'!W16,0)</f>
        <v>1392/10/16</v>
      </c>
      <c r="D33" s="10">
        <f>IF(B33=20,D32-F32,0)</f>
        <v>55265717</v>
      </c>
      <c r="E33" s="10">
        <f t="shared" si="0"/>
        <v>690821</v>
      </c>
      <c r="F33" s="10">
        <f>IF(B33=20,$G$4-E33,0)</f>
        <v>1470589</v>
      </c>
      <c r="G33" s="10">
        <f t="shared" si="1"/>
        <v>0</v>
      </c>
      <c r="H33" s="10">
        <f t="shared" si="3"/>
        <v>2161410</v>
      </c>
      <c r="I33" s="45"/>
      <c r="J33" s="46"/>
      <c r="K33" s="46"/>
      <c r="L33" s="46"/>
      <c r="M33" s="46"/>
      <c r="N33" s="47"/>
      <c r="P33" s="3">
        <v>32</v>
      </c>
      <c r="Q33" s="3">
        <v>32</v>
      </c>
    </row>
    <row r="34" spans="1:17" ht="22.5" x14ac:dyDescent="0.65">
      <c r="A34" s="22"/>
      <c r="B34" s="9">
        <f t="shared" si="2"/>
        <v>21</v>
      </c>
      <c r="C34" s="11" t="str">
        <f>IF(B34=21,'1'!X16,0)</f>
        <v>1392/11/16</v>
      </c>
      <c r="D34" s="10">
        <f>IF(B34=21,D33-F33,0)</f>
        <v>53795128</v>
      </c>
      <c r="E34" s="10">
        <f t="shared" ref="E34:E74" si="4">ROUND(D34*$C$9,0)</f>
        <v>672439</v>
      </c>
      <c r="F34" s="10">
        <f>IF(B34=21,$G$4-E34,0)</f>
        <v>1488971</v>
      </c>
      <c r="G34" s="10">
        <f t="shared" ref="G34:G74" si="5">IF(B34=0,0,$C$10/$C$6)</f>
        <v>0</v>
      </c>
      <c r="H34" s="10">
        <f t="shared" ref="H34:H74" si="6">E34+F34+G34</f>
        <v>2161410</v>
      </c>
      <c r="I34" s="22"/>
      <c r="J34" s="22"/>
      <c r="K34" s="22"/>
      <c r="L34" s="22"/>
      <c r="M34" s="22"/>
      <c r="N34" s="22"/>
      <c r="P34" s="3">
        <v>33</v>
      </c>
      <c r="Q34" s="3">
        <v>33</v>
      </c>
    </row>
    <row r="35" spans="1:17" ht="18.75" x14ac:dyDescent="0.5">
      <c r="B35" s="9">
        <f t="shared" si="2"/>
        <v>22</v>
      </c>
      <c r="C35" s="11" t="str">
        <f>IF(B35=22,'1'!Y16,0)</f>
        <v>1392/12/16</v>
      </c>
      <c r="D35" s="10">
        <f>IF(B35=22,D34-F34,0)</f>
        <v>52306157</v>
      </c>
      <c r="E35" s="10">
        <f t="shared" si="4"/>
        <v>653827</v>
      </c>
      <c r="F35" s="10">
        <f>IF(B35=22,$G$4-E35,0)</f>
        <v>1507583</v>
      </c>
      <c r="G35" s="10">
        <f t="shared" si="5"/>
        <v>0</v>
      </c>
      <c r="H35" s="10">
        <f t="shared" si="6"/>
        <v>2161410</v>
      </c>
      <c r="P35" s="3">
        <v>34</v>
      </c>
      <c r="Q35" s="3">
        <v>34</v>
      </c>
    </row>
    <row r="36" spans="1:17" ht="18.75" x14ac:dyDescent="0.5">
      <c r="B36" s="9">
        <f t="shared" si="2"/>
        <v>23</v>
      </c>
      <c r="C36" s="11" t="str">
        <f>IF(B36=23,'1'!Z16,0)</f>
        <v>1393/1/16</v>
      </c>
      <c r="D36" s="10">
        <f>IF(B36=23,D35-F35,0)</f>
        <v>50798574</v>
      </c>
      <c r="E36" s="10">
        <f t="shared" si="4"/>
        <v>634982</v>
      </c>
      <c r="F36" s="10">
        <f>IF(B36=23,$G$4-E36,0)</f>
        <v>1526428</v>
      </c>
      <c r="G36" s="10">
        <f t="shared" si="5"/>
        <v>0</v>
      </c>
      <c r="H36" s="10">
        <f t="shared" si="6"/>
        <v>2161410</v>
      </c>
      <c r="P36" s="3">
        <v>35</v>
      </c>
      <c r="Q36" s="3">
        <v>35</v>
      </c>
    </row>
    <row r="37" spans="1:17" ht="18.75" x14ac:dyDescent="0.5">
      <c r="B37" s="9">
        <f t="shared" si="2"/>
        <v>24</v>
      </c>
      <c r="C37" s="11" t="str">
        <f>IF(B37=24,'1'!AA16,0)</f>
        <v>1393/2/16</v>
      </c>
      <c r="D37" s="10">
        <f>IF(B37=24,D36-F36,0)</f>
        <v>49272146</v>
      </c>
      <c r="E37" s="10">
        <f t="shared" si="4"/>
        <v>615902</v>
      </c>
      <c r="F37" s="10">
        <f>IF(B37=24,$G$4-E37,0)</f>
        <v>1545508</v>
      </c>
      <c r="G37" s="10">
        <f t="shared" si="5"/>
        <v>0</v>
      </c>
      <c r="H37" s="10">
        <f t="shared" si="6"/>
        <v>2161410</v>
      </c>
      <c r="P37" s="3">
        <v>36</v>
      </c>
      <c r="Q37" s="3">
        <v>36</v>
      </c>
    </row>
    <row r="38" spans="1:17" ht="18.75" x14ac:dyDescent="0.5">
      <c r="B38" s="9">
        <f t="shared" si="2"/>
        <v>25</v>
      </c>
      <c r="C38" s="11" t="str">
        <f>IF(B38=25,'1'!AB16,0)</f>
        <v>1393/3/16</v>
      </c>
      <c r="D38" s="10">
        <f>IF(B38=25,D37-F37,0)</f>
        <v>47726638</v>
      </c>
      <c r="E38" s="10">
        <f t="shared" si="4"/>
        <v>596583</v>
      </c>
      <c r="F38" s="10">
        <f>IF(B38=25,$G$4-E38,0)</f>
        <v>1564827</v>
      </c>
      <c r="G38" s="10">
        <f t="shared" si="5"/>
        <v>0</v>
      </c>
      <c r="H38" s="10">
        <f t="shared" si="6"/>
        <v>2161410</v>
      </c>
      <c r="I38" s="24" t="s">
        <v>16</v>
      </c>
      <c r="J38" s="25"/>
      <c r="K38" s="25"/>
      <c r="L38" s="25"/>
      <c r="M38" s="25"/>
      <c r="N38" s="26"/>
      <c r="P38" s="3">
        <v>37</v>
      </c>
      <c r="Q38" s="3">
        <v>37</v>
      </c>
    </row>
    <row r="39" spans="1:17" ht="18.75" x14ac:dyDescent="0.5">
      <c r="B39" s="9">
        <f t="shared" si="2"/>
        <v>26</v>
      </c>
      <c r="C39" s="11" t="str">
        <f>IF(B39=26,'1'!AC$16,0)</f>
        <v>1393/4/16</v>
      </c>
      <c r="D39" s="10">
        <f>IF(B39=26,D38-F38,0)</f>
        <v>46161811</v>
      </c>
      <c r="E39" s="10">
        <f t="shared" si="4"/>
        <v>577023</v>
      </c>
      <c r="F39" s="10">
        <f>IF(B39=26,$G$4-E39,0)</f>
        <v>1584387</v>
      </c>
      <c r="G39" s="10">
        <f t="shared" si="5"/>
        <v>0</v>
      </c>
      <c r="H39" s="10">
        <f t="shared" si="6"/>
        <v>2161410</v>
      </c>
      <c r="I39" s="27"/>
      <c r="J39" s="28"/>
      <c r="K39" s="28"/>
      <c r="L39" s="28"/>
      <c r="M39" s="28"/>
      <c r="N39" s="29"/>
      <c r="P39" s="3">
        <v>38</v>
      </c>
      <c r="Q39" s="3">
        <v>38</v>
      </c>
    </row>
    <row r="40" spans="1:17" ht="18.75" x14ac:dyDescent="0.5">
      <c r="B40" s="9">
        <f t="shared" si="2"/>
        <v>27</v>
      </c>
      <c r="C40" s="11" t="str">
        <f>IF(B40=27,'1'!AD$16,0)</f>
        <v>1393/5/16</v>
      </c>
      <c r="D40" s="10">
        <f>IF(B40=27,D39-F39,0)</f>
        <v>44577424</v>
      </c>
      <c r="E40" s="10">
        <f t="shared" si="4"/>
        <v>557218</v>
      </c>
      <c r="F40" s="10">
        <f>IF(B40=27,$G$4-E40,0)</f>
        <v>1604192</v>
      </c>
      <c r="G40" s="10">
        <f t="shared" si="5"/>
        <v>0</v>
      </c>
      <c r="H40" s="10">
        <f t="shared" si="6"/>
        <v>2161410</v>
      </c>
      <c r="I40" s="27"/>
      <c r="J40" s="28"/>
      <c r="K40" s="28"/>
      <c r="L40" s="28"/>
      <c r="M40" s="28"/>
      <c r="N40" s="29"/>
      <c r="P40" s="3">
        <v>39</v>
      </c>
      <c r="Q40" s="3">
        <v>39</v>
      </c>
    </row>
    <row r="41" spans="1:17" ht="18.75" x14ac:dyDescent="0.5">
      <c r="B41" s="9">
        <f t="shared" si="2"/>
        <v>28</v>
      </c>
      <c r="C41" s="11" t="str">
        <f>IF(B41=28,'1'!AD$16,0)</f>
        <v>1393/5/16</v>
      </c>
      <c r="D41" s="10">
        <f>IF(B41=28,D40-F40,0)</f>
        <v>42973232</v>
      </c>
      <c r="E41" s="10">
        <f t="shared" si="4"/>
        <v>537165</v>
      </c>
      <c r="F41" s="10">
        <f>IF(B41=28,$G$4-E41,0)</f>
        <v>1624245</v>
      </c>
      <c r="G41" s="10">
        <f t="shared" si="5"/>
        <v>0</v>
      </c>
      <c r="H41" s="10">
        <f t="shared" si="6"/>
        <v>2161410</v>
      </c>
      <c r="I41" s="27"/>
      <c r="J41" s="28"/>
      <c r="K41" s="28"/>
      <c r="L41" s="28"/>
      <c r="M41" s="28"/>
      <c r="N41" s="29"/>
      <c r="P41" s="3">
        <v>40</v>
      </c>
      <c r="Q41" s="3">
        <v>40</v>
      </c>
    </row>
    <row r="42" spans="1:17" ht="18.75" x14ac:dyDescent="0.5">
      <c r="B42" s="9">
        <f t="shared" si="2"/>
        <v>29</v>
      </c>
      <c r="C42" s="11" t="str">
        <f>IF(B42=29,'1'!AE$16,0)</f>
        <v>1393/6/16</v>
      </c>
      <c r="D42" s="10">
        <f>IF(B42=29,D41-F41,0)</f>
        <v>41348987</v>
      </c>
      <c r="E42" s="10">
        <f t="shared" si="4"/>
        <v>516862</v>
      </c>
      <c r="F42" s="10">
        <f>IF(B42=29,$G$4-E42,0)</f>
        <v>1644548</v>
      </c>
      <c r="G42" s="10">
        <f t="shared" si="5"/>
        <v>0</v>
      </c>
      <c r="H42" s="10">
        <f t="shared" si="6"/>
        <v>2161410</v>
      </c>
      <c r="I42" s="30"/>
      <c r="J42" s="31"/>
      <c r="K42" s="31"/>
      <c r="L42" s="31"/>
      <c r="M42" s="31"/>
      <c r="N42" s="32"/>
      <c r="P42" s="3">
        <v>41</v>
      </c>
      <c r="Q42" s="3">
        <v>41</v>
      </c>
    </row>
    <row r="43" spans="1:17" ht="18.75" x14ac:dyDescent="0.5">
      <c r="B43" s="9">
        <f t="shared" si="2"/>
        <v>30</v>
      </c>
      <c r="C43" s="11" t="str">
        <f>IF(B43=30,'1'!AF$16,0)</f>
        <v>1393/7/16</v>
      </c>
      <c r="D43" s="10">
        <f>IF(B43=30,D42-F42,0)</f>
        <v>39704439</v>
      </c>
      <c r="E43" s="10">
        <f t="shared" si="4"/>
        <v>496305</v>
      </c>
      <c r="F43" s="10">
        <f>IF(B43=30,$G$4-E43,0)</f>
        <v>1665105</v>
      </c>
      <c r="G43" s="10">
        <f t="shared" si="5"/>
        <v>0</v>
      </c>
      <c r="H43" s="10">
        <f t="shared" si="6"/>
        <v>2161410</v>
      </c>
      <c r="P43" s="3">
        <v>42</v>
      </c>
      <c r="Q43" s="3">
        <v>42</v>
      </c>
    </row>
    <row r="44" spans="1:17" ht="18.75" x14ac:dyDescent="0.5">
      <c r="B44" s="9">
        <f t="shared" si="2"/>
        <v>31</v>
      </c>
      <c r="C44" s="11" t="str">
        <f>IF(B44=31,'1'!AG$16,0)</f>
        <v>1393/8/16</v>
      </c>
      <c r="D44" s="10">
        <f>IF(B44=31,D43-F43,0)</f>
        <v>38039334</v>
      </c>
      <c r="E44" s="10">
        <f t="shared" si="4"/>
        <v>475492</v>
      </c>
      <c r="F44" s="10">
        <f>IF(B44=31,$G$4-E44,0)</f>
        <v>1685918</v>
      </c>
      <c r="G44" s="10">
        <f t="shared" si="5"/>
        <v>0</v>
      </c>
      <c r="H44" s="10">
        <f t="shared" si="6"/>
        <v>2161410</v>
      </c>
      <c r="P44" s="3">
        <v>43</v>
      </c>
      <c r="Q44" s="3">
        <v>43</v>
      </c>
    </row>
    <row r="45" spans="1:17" ht="18.75" x14ac:dyDescent="0.5">
      <c r="B45" s="9">
        <f t="shared" si="2"/>
        <v>32</v>
      </c>
      <c r="C45" s="11" t="str">
        <f>IF(B45=32,'1'!AH$16,0)</f>
        <v>1393/9/16</v>
      </c>
      <c r="D45" s="10">
        <f>IF(B45=32,D44-F44,0)</f>
        <v>36353416</v>
      </c>
      <c r="E45" s="10">
        <f t="shared" si="4"/>
        <v>454418</v>
      </c>
      <c r="F45" s="10">
        <f>IF(B45=32,$G$4-E45,0)</f>
        <v>1706992</v>
      </c>
      <c r="G45" s="10">
        <f t="shared" si="5"/>
        <v>0</v>
      </c>
      <c r="H45" s="10">
        <f t="shared" si="6"/>
        <v>2161410</v>
      </c>
      <c r="K45" s="23"/>
      <c r="P45" s="3">
        <v>44</v>
      </c>
      <c r="Q45" s="3">
        <v>44</v>
      </c>
    </row>
    <row r="46" spans="1:17" ht="18.75" x14ac:dyDescent="0.5">
      <c r="B46" s="9">
        <f t="shared" si="2"/>
        <v>33</v>
      </c>
      <c r="C46" s="11" t="str">
        <f>IF(B46=33,'1'!AI$16,0)</f>
        <v>1393/10/16</v>
      </c>
      <c r="D46" s="10">
        <f>IF(B46=33,D45-F45,0)</f>
        <v>34646424</v>
      </c>
      <c r="E46" s="10">
        <f t="shared" si="4"/>
        <v>433080</v>
      </c>
      <c r="F46" s="10">
        <f>IF(B46=33,$G$4-E46,0)</f>
        <v>1728330</v>
      </c>
      <c r="G46" s="10">
        <f t="shared" si="5"/>
        <v>0</v>
      </c>
      <c r="H46" s="10">
        <f t="shared" si="6"/>
        <v>2161410</v>
      </c>
      <c r="P46" s="3">
        <v>45</v>
      </c>
      <c r="Q46" s="3">
        <v>45</v>
      </c>
    </row>
    <row r="47" spans="1:17" ht="18.75" x14ac:dyDescent="0.5">
      <c r="B47" s="9">
        <f t="shared" si="2"/>
        <v>34</v>
      </c>
      <c r="C47" s="11" t="str">
        <f>IF(B47=34,'1'!AJ$16,0)</f>
        <v>1393/11/16</v>
      </c>
      <c r="D47" s="10">
        <f>IF(B47=34,D46-F46,0)</f>
        <v>32918094</v>
      </c>
      <c r="E47" s="10">
        <f t="shared" si="4"/>
        <v>411476</v>
      </c>
      <c r="F47" s="10">
        <f>IF(B47=34,$G$4-E47,0)</f>
        <v>1749934</v>
      </c>
      <c r="G47" s="10">
        <f t="shared" si="5"/>
        <v>0</v>
      </c>
      <c r="H47" s="10">
        <f t="shared" si="6"/>
        <v>2161410</v>
      </c>
      <c r="P47" s="3">
        <v>46</v>
      </c>
      <c r="Q47" s="3">
        <v>46</v>
      </c>
    </row>
    <row r="48" spans="1:17" ht="18.75" x14ac:dyDescent="0.5">
      <c r="B48" s="9">
        <f t="shared" si="2"/>
        <v>35</v>
      </c>
      <c r="C48" s="11" t="str">
        <f>IF(B48=35,'1'!AK$16,0)</f>
        <v>1393/12/16</v>
      </c>
      <c r="D48" s="10">
        <f>IF(B48=35,D47-F47,0)</f>
        <v>31168160</v>
      </c>
      <c r="E48" s="10">
        <f t="shared" si="4"/>
        <v>389602</v>
      </c>
      <c r="F48" s="10">
        <f>IF(B48=35,$G$4-E48,0)</f>
        <v>1771808</v>
      </c>
      <c r="G48" s="10">
        <f t="shared" si="5"/>
        <v>0</v>
      </c>
      <c r="H48" s="10">
        <f t="shared" si="6"/>
        <v>2161410</v>
      </c>
      <c r="P48" s="3">
        <v>47</v>
      </c>
      <c r="Q48" s="3">
        <v>47</v>
      </c>
    </row>
    <row r="49" spans="2:17" ht="18.75" x14ac:dyDescent="0.5">
      <c r="B49" s="9">
        <f t="shared" si="2"/>
        <v>36</v>
      </c>
      <c r="C49" s="11" t="str">
        <f>IF(B49=36,'1'!AL$16,0)</f>
        <v>1394/1/16</v>
      </c>
      <c r="D49" s="10">
        <f>IF(B49=36,D48-F48,0)</f>
        <v>29396352</v>
      </c>
      <c r="E49" s="10">
        <f t="shared" si="4"/>
        <v>367454</v>
      </c>
      <c r="F49" s="10">
        <f>IF(B49=36,$G$4-E49,0)</f>
        <v>1793956</v>
      </c>
      <c r="G49" s="10">
        <f t="shared" si="5"/>
        <v>0</v>
      </c>
      <c r="H49" s="10">
        <f t="shared" si="6"/>
        <v>2161410</v>
      </c>
      <c r="P49" s="3">
        <v>48</v>
      </c>
      <c r="Q49" s="3">
        <v>48</v>
      </c>
    </row>
    <row r="50" spans="2:17" ht="18.75" x14ac:dyDescent="0.5">
      <c r="B50" s="9">
        <f t="shared" si="2"/>
        <v>37</v>
      </c>
      <c r="C50" s="11" t="str">
        <f>IF(B50=37,'1'!AM$16,0)</f>
        <v>1394/2/16</v>
      </c>
      <c r="D50" s="10">
        <f>IF(B50=37,D49-F49,0)</f>
        <v>27602396</v>
      </c>
      <c r="E50" s="10">
        <f t="shared" si="4"/>
        <v>345030</v>
      </c>
      <c r="F50" s="10">
        <f>IF(B50=37,$G$4-E50,0)</f>
        <v>1816380</v>
      </c>
      <c r="G50" s="10">
        <f t="shared" si="5"/>
        <v>0</v>
      </c>
      <c r="H50" s="10">
        <f t="shared" si="6"/>
        <v>2161410</v>
      </c>
      <c r="P50" s="3">
        <v>49</v>
      </c>
      <c r="Q50" s="3">
        <v>49</v>
      </c>
    </row>
    <row r="51" spans="2:17" ht="18.75" x14ac:dyDescent="0.5">
      <c r="B51" s="9">
        <f t="shared" si="2"/>
        <v>38</v>
      </c>
      <c r="C51" s="11" t="str">
        <f>IF(B51=38,'1'!AN$16,0)</f>
        <v>1394/3/16</v>
      </c>
      <c r="D51" s="10">
        <f>IF(B51=38,D50-F50,0)</f>
        <v>25786016</v>
      </c>
      <c r="E51" s="10">
        <f t="shared" si="4"/>
        <v>322325</v>
      </c>
      <c r="F51" s="10">
        <f>IF(B51=38,$G$4-E51,0)</f>
        <v>1839085</v>
      </c>
      <c r="G51" s="10">
        <f t="shared" si="5"/>
        <v>0</v>
      </c>
      <c r="H51" s="10">
        <f t="shared" si="6"/>
        <v>2161410</v>
      </c>
      <c r="P51" s="3">
        <v>50</v>
      </c>
      <c r="Q51" s="3">
        <v>50</v>
      </c>
    </row>
    <row r="52" spans="2:17" ht="18.75" x14ac:dyDescent="0.5">
      <c r="B52" s="9">
        <f t="shared" si="2"/>
        <v>39</v>
      </c>
      <c r="C52" s="11" t="str">
        <f>IF(B52=39,'1'!AO$16,0)</f>
        <v>1394/4/16</v>
      </c>
      <c r="D52" s="10">
        <f>IF(B52=39,D51-F51,0)</f>
        <v>23946931</v>
      </c>
      <c r="E52" s="10">
        <f t="shared" si="4"/>
        <v>299337</v>
      </c>
      <c r="F52" s="10">
        <f>IF(B52=39,$G$4-E52,0)</f>
        <v>1862073</v>
      </c>
      <c r="G52" s="10">
        <f t="shared" si="5"/>
        <v>0</v>
      </c>
      <c r="H52" s="10">
        <f t="shared" si="6"/>
        <v>2161410</v>
      </c>
      <c r="P52" s="3">
        <v>51</v>
      </c>
      <c r="Q52" s="3">
        <v>51</v>
      </c>
    </row>
    <row r="53" spans="2:17" ht="18.75" x14ac:dyDescent="0.5">
      <c r="B53" s="9">
        <f t="shared" si="2"/>
        <v>40</v>
      </c>
      <c r="C53" s="11" t="str">
        <f>IF(B53=40,'1'!AP$16,0)</f>
        <v>1394/5/16</v>
      </c>
      <c r="D53" s="10">
        <f>IF(B53=40,D52-F52,0)</f>
        <v>22084858</v>
      </c>
      <c r="E53" s="10">
        <f t="shared" si="4"/>
        <v>276061</v>
      </c>
      <c r="F53" s="10">
        <f>IF(B53=40,$G$4-E53,0)</f>
        <v>1885349</v>
      </c>
      <c r="G53" s="10">
        <f t="shared" si="5"/>
        <v>0</v>
      </c>
      <c r="H53" s="10">
        <f t="shared" si="6"/>
        <v>2161410</v>
      </c>
      <c r="P53" s="3">
        <v>52</v>
      </c>
      <c r="Q53" s="3">
        <v>52</v>
      </c>
    </row>
    <row r="54" spans="2:17" ht="18.75" x14ac:dyDescent="0.5">
      <c r="B54" s="9">
        <f t="shared" si="2"/>
        <v>41</v>
      </c>
      <c r="C54" s="11" t="str">
        <f>IF(B54=41,'1'!AQ$16,0)</f>
        <v>1394/6/16</v>
      </c>
      <c r="D54" s="10">
        <f>IF(B54=41,D53-F53,0)</f>
        <v>20199509</v>
      </c>
      <c r="E54" s="10">
        <f t="shared" si="4"/>
        <v>252494</v>
      </c>
      <c r="F54" s="10">
        <f>IF(B54=41,$G$4-E54,0)</f>
        <v>1908916</v>
      </c>
      <c r="G54" s="10">
        <f t="shared" si="5"/>
        <v>0</v>
      </c>
      <c r="H54" s="10">
        <f t="shared" si="6"/>
        <v>2161410</v>
      </c>
      <c r="P54" s="3">
        <v>53</v>
      </c>
      <c r="Q54" s="3">
        <v>53</v>
      </c>
    </row>
    <row r="55" spans="2:17" ht="18.75" x14ac:dyDescent="0.5">
      <c r="B55" s="9">
        <f t="shared" si="2"/>
        <v>42</v>
      </c>
      <c r="C55" s="11" t="str">
        <f>IF(B55=42,'1'!AR$16,0)</f>
        <v>1394/7/16</v>
      </c>
      <c r="D55" s="10">
        <f>IF(B55=42,D54-F54,0)</f>
        <v>18290593</v>
      </c>
      <c r="E55" s="10">
        <f t="shared" si="4"/>
        <v>228632</v>
      </c>
      <c r="F55" s="10">
        <f>IF(B55=42,$G$4-E55,0)</f>
        <v>1932778</v>
      </c>
      <c r="G55" s="10">
        <f t="shared" si="5"/>
        <v>0</v>
      </c>
      <c r="H55" s="10">
        <f t="shared" si="6"/>
        <v>2161410</v>
      </c>
      <c r="P55" s="3">
        <v>54</v>
      </c>
      <c r="Q55" s="3">
        <v>54</v>
      </c>
    </row>
    <row r="56" spans="2:17" ht="18.75" x14ac:dyDescent="0.5">
      <c r="B56" s="9">
        <f t="shared" si="2"/>
        <v>43</v>
      </c>
      <c r="C56" s="11" t="str">
        <f>IF(B56=43,'1'!AS$16,0)</f>
        <v>1394/8/16</v>
      </c>
      <c r="D56" s="10">
        <f>IF(B56=43,D55-F55,0)</f>
        <v>16357815</v>
      </c>
      <c r="E56" s="10">
        <f t="shared" si="4"/>
        <v>204473</v>
      </c>
      <c r="F56" s="10">
        <f>IF(B56=43,$G$4-E56,0)</f>
        <v>1956937</v>
      </c>
      <c r="G56" s="10">
        <f t="shared" si="5"/>
        <v>0</v>
      </c>
      <c r="H56" s="10">
        <f t="shared" si="6"/>
        <v>2161410</v>
      </c>
      <c r="P56" s="3">
        <v>55</v>
      </c>
      <c r="Q56" s="3">
        <v>55</v>
      </c>
    </row>
    <row r="57" spans="2:17" ht="18.75" x14ac:dyDescent="0.5">
      <c r="B57" s="9">
        <f t="shared" si="2"/>
        <v>44</v>
      </c>
      <c r="C57" s="11" t="str">
        <f>IF(B57=44,'1'!AT$16,0)</f>
        <v>1394/9/16</v>
      </c>
      <c r="D57" s="10">
        <f>IF(B57=44,D56-F56,0)</f>
        <v>14400878</v>
      </c>
      <c r="E57" s="10">
        <f t="shared" si="4"/>
        <v>180011</v>
      </c>
      <c r="F57" s="10">
        <f>IF(B57=44,$G$4-E57,0)</f>
        <v>1981399</v>
      </c>
      <c r="G57" s="10">
        <f t="shared" si="5"/>
        <v>0</v>
      </c>
      <c r="H57" s="10">
        <f t="shared" si="6"/>
        <v>2161410</v>
      </c>
      <c r="P57" s="3">
        <v>56</v>
      </c>
      <c r="Q57" s="3">
        <v>56</v>
      </c>
    </row>
    <row r="58" spans="2:17" ht="18.75" x14ac:dyDescent="0.5">
      <c r="B58" s="9">
        <f t="shared" si="2"/>
        <v>45</v>
      </c>
      <c r="C58" s="11" t="str">
        <f>IF(B58=45,'1'!AU$16,0)</f>
        <v>1394/10/16</v>
      </c>
      <c r="D58" s="10">
        <f>IF(B58=45,D57-F57,0)</f>
        <v>12419479</v>
      </c>
      <c r="E58" s="10">
        <f t="shared" si="4"/>
        <v>155243</v>
      </c>
      <c r="F58" s="10">
        <f>IF(B58=45,$G$4-E58,0)</f>
        <v>2006167</v>
      </c>
      <c r="G58" s="10">
        <f t="shared" si="5"/>
        <v>0</v>
      </c>
      <c r="H58" s="10">
        <f t="shared" si="6"/>
        <v>2161410</v>
      </c>
      <c r="P58" s="3">
        <v>57</v>
      </c>
      <c r="Q58" s="3">
        <v>57</v>
      </c>
    </row>
    <row r="59" spans="2:17" ht="18.75" x14ac:dyDescent="0.5">
      <c r="B59" s="9">
        <f t="shared" si="2"/>
        <v>46</v>
      </c>
      <c r="C59" s="11" t="str">
        <f>IF(B59=46,'1'!AV$16,0)</f>
        <v>1394/11/16</v>
      </c>
      <c r="D59" s="10">
        <f>IF(B59=46,D58-F58,0)</f>
        <v>10413312</v>
      </c>
      <c r="E59" s="10">
        <f t="shared" si="4"/>
        <v>130166</v>
      </c>
      <c r="F59" s="10">
        <f>IF(B59=46,$G$4-E59,0)</f>
        <v>2031244</v>
      </c>
      <c r="G59" s="10">
        <f t="shared" si="5"/>
        <v>0</v>
      </c>
      <c r="H59" s="10">
        <f t="shared" si="6"/>
        <v>2161410</v>
      </c>
      <c r="P59" s="3">
        <v>58</v>
      </c>
      <c r="Q59" s="3">
        <v>58</v>
      </c>
    </row>
    <row r="60" spans="2:17" ht="18.75" x14ac:dyDescent="0.5">
      <c r="B60" s="9">
        <f t="shared" si="2"/>
        <v>47</v>
      </c>
      <c r="C60" s="11" t="str">
        <f>IF(B60=47,'1'!AW$16,0)</f>
        <v>1394/12/16</v>
      </c>
      <c r="D60" s="10">
        <f>IF(B60=47,D59-F59,0)</f>
        <v>8382068</v>
      </c>
      <c r="E60" s="10">
        <f t="shared" si="4"/>
        <v>104776</v>
      </c>
      <c r="F60" s="10">
        <f>IF(B60=47,$G$4-E60,0)</f>
        <v>2056634</v>
      </c>
      <c r="G60" s="10">
        <f t="shared" si="5"/>
        <v>0</v>
      </c>
      <c r="H60" s="10">
        <f t="shared" si="6"/>
        <v>2161410</v>
      </c>
      <c r="P60" s="3">
        <v>59</v>
      </c>
      <c r="Q60" s="3">
        <v>59</v>
      </c>
    </row>
    <row r="61" spans="2:17" ht="18.75" x14ac:dyDescent="0.5">
      <c r="B61" s="9">
        <f t="shared" si="2"/>
        <v>48</v>
      </c>
      <c r="C61" s="11" t="str">
        <f>IF(B61=48,'1'!AX$16,0)</f>
        <v>1395/1/16</v>
      </c>
      <c r="D61" s="10">
        <f>IF(B61=48,D60-F60,0)</f>
        <v>6325434</v>
      </c>
      <c r="E61" s="10">
        <f t="shared" si="4"/>
        <v>79068</v>
      </c>
      <c r="F61" s="10">
        <f>IF(B61=48,$G$4-E61,0)</f>
        <v>2082342</v>
      </c>
      <c r="G61" s="10">
        <f t="shared" si="5"/>
        <v>0</v>
      </c>
      <c r="H61" s="10">
        <f t="shared" si="6"/>
        <v>2161410</v>
      </c>
      <c r="P61" s="3">
        <v>60</v>
      </c>
      <c r="Q61" s="3">
        <v>60</v>
      </c>
    </row>
    <row r="62" spans="2:17" ht="18.75" x14ac:dyDescent="0.5">
      <c r="B62" s="9">
        <f t="shared" si="2"/>
        <v>49</v>
      </c>
      <c r="C62" s="11" t="str">
        <f>IF(B62=49,'1'!AY$16,0)</f>
        <v>1395/2/16</v>
      </c>
      <c r="D62" s="10">
        <f>IF(B62=49,D61-F61,0)</f>
        <v>4243092</v>
      </c>
      <c r="E62" s="10">
        <f t="shared" si="4"/>
        <v>53039</v>
      </c>
      <c r="F62" s="10">
        <f>IF(B62=49,$G$4-E62,0)</f>
        <v>2108371</v>
      </c>
      <c r="G62" s="10">
        <f t="shared" si="5"/>
        <v>0</v>
      </c>
      <c r="H62" s="10">
        <f t="shared" si="6"/>
        <v>2161410</v>
      </c>
      <c r="P62" s="3">
        <v>61</v>
      </c>
      <c r="Q62" s="3">
        <v>61</v>
      </c>
    </row>
    <row r="63" spans="2:17" ht="18.75" x14ac:dyDescent="0.5">
      <c r="B63" s="9">
        <f t="shared" si="2"/>
        <v>50</v>
      </c>
      <c r="C63" s="11" t="str">
        <f>IF(B63=50,'1'!AZ$16,0)</f>
        <v>1395/3/16</v>
      </c>
      <c r="D63" s="10">
        <f>IF(B63=50,D62-F62,0)</f>
        <v>2134721</v>
      </c>
      <c r="E63" s="10">
        <f t="shared" si="4"/>
        <v>26684</v>
      </c>
      <c r="F63" s="10">
        <f>IF(B63=50,$G$4-E63,0)</f>
        <v>2134726</v>
      </c>
      <c r="G63" s="10">
        <f t="shared" si="5"/>
        <v>0</v>
      </c>
      <c r="H63" s="10">
        <f t="shared" si="6"/>
        <v>2161410</v>
      </c>
      <c r="P63" s="3">
        <v>62</v>
      </c>
      <c r="Q63" s="3">
        <v>62</v>
      </c>
    </row>
    <row r="64" spans="2:17" ht="18.75" x14ac:dyDescent="0.5">
      <c r="B64" s="9">
        <f t="shared" si="2"/>
        <v>0</v>
      </c>
      <c r="C64" s="11">
        <f>IF(B64=51,'1'!BA$16,0)</f>
        <v>0</v>
      </c>
      <c r="D64" s="10">
        <f>IF(B64=51,D63-F63,0)</f>
        <v>0</v>
      </c>
      <c r="E64" s="10">
        <f t="shared" si="4"/>
        <v>0</v>
      </c>
      <c r="F64" s="10">
        <f>IF(B64=51,$G$4-E64,0)</f>
        <v>0</v>
      </c>
      <c r="G64" s="10">
        <f t="shared" si="5"/>
        <v>0</v>
      </c>
      <c r="H64" s="10">
        <f t="shared" si="6"/>
        <v>0</v>
      </c>
    </row>
    <row r="65" spans="2:8" ht="18.75" x14ac:dyDescent="0.5">
      <c r="B65" s="9">
        <f t="shared" si="2"/>
        <v>0</v>
      </c>
      <c r="C65" s="11">
        <f>IF(B65=52,'1'!BB$16,0)</f>
        <v>0</v>
      </c>
      <c r="D65" s="10">
        <f>IF(B65=52,D64-F64,0)</f>
        <v>0</v>
      </c>
      <c r="E65" s="10">
        <f t="shared" si="4"/>
        <v>0</v>
      </c>
      <c r="F65" s="10">
        <f>IF(B65=52,$G$4-E65,0)</f>
        <v>0</v>
      </c>
      <c r="G65" s="10">
        <f t="shared" si="5"/>
        <v>0</v>
      </c>
      <c r="H65" s="10">
        <f t="shared" si="6"/>
        <v>0</v>
      </c>
    </row>
    <row r="66" spans="2:8" ht="18.75" x14ac:dyDescent="0.5">
      <c r="B66" s="9">
        <f t="shared" si="2"/>
        <v>0</v>
      </c>
      <c r="C66" s="11">
        <f>IF(B66=53,'1'!BC$16,0)</f>
        <v>0</v>
      </c>
      <c r="D66" s="10">
        <f>IF(B66=53,D65-F65,0)</f>
        <v>0</v>
      </c>
      <c r="E66" s="10">
        <f t="shared" si="4"/>
        <v>0</v>
      </c>
      <c r="F66" s="10">
        <f>IF(B66=53,$G$4-E66,0)</f>
        <v>0</v>
      </c>
      <c r="G66" s="10">
        <f t="shared" si="5"/>
        <v>0</v>
      </c>
      <c r="H66" s="10">
        <f t="shared" si="6"/>
        <v>0</v>
      </c>
    </row>
    <row r="67" spans="2:8" ht="18.75" x14ac:dyDescent="0.5">
      <c r="B67" s="9">
        <f t="shared" si="2"/>
        <v>0</v>
      </c>
      <c r="C67" s="11">
        <f>IF(B67=54,'1'!BD$16,0)</f>
        <v>0</v>
      </c>
      <c r="D67" s="10">
        <f>IF(B67=54,D66-F66,0)</f>
        <v>0</v>
      </c>
      <c r="E67" s="10">
        <f t="shared" si="4"/>
        <v>0</v>
      </c>
      <c r="F67" s="10">
        <f>IF(B67=54,$G$4-E67,0)</f>
        <v>0</v>
      </c>
      <c r="G67" s="10">
        <f t="shared" si="5"/>
        <v>0</v>
      </c>
      <c r="H67" s="10">
        <f t="shared" si="6"/>
        <v>0</v>
      </c>
    </row>
    <row r="68" spans="2:8" ht="18.75" x14ac:dyDescent="0.5">
      <c r="B68" s="9">
        <f t="shared" si="2"/>
        <v>0</v>
      </c>
      <c r="C68" s="11">
        <f>IF(B68=55,'1'!BE$16,0)</f>
        <v>0</v>
      </c>
      <c r="D68" s="10">
        <f>IF(B68=55,D67-F67,0)</f>
        <v>0</v>
      </c>
      <c r="E68" s="10">
        <f t="shared" si="4"/>
        <v>0</v>
      </c>
      <c r="F68" s="10">
        <f>IF(B68=55,$G$4-E68,0)</f>
        <v>0</v>
      </c>
      <c r="G68" s="10">
        <f t="shared" si="5"/>
        <v>0</v>
      </c>
      <c r="H68" s="10">
        <f t="shared" si="6"/>
        <v>0</v>
      </c>
    </row>
    <row r="69" spans="2:8" ht="18.75" x14ac:dyDescent="0.5">
      <c r="B69" s="9">
        <f t="shared" si="2"/>
        <v>0</v>
      </c>
      <c r="C69" s="11">
        <f>IF(B69=56,'1'!BF$16,0)</f>
        <v>0</v>
      </c>
      <c r="D69" s="10">
        <f>IF(B69=56,D68-F68,0)</f>
        <v>0</v>
      </c>
      <c r="E69" s="10">
        <f t="shared" si="4"/>
        <v>0</v>
      </c>
      <c r="F69" s="10">
        <f>IF(B69=56,$G$4-E69,0)</f>
        <v>0</v>
      </c>
      <c r="G69" s="10">
        <f t="shared" si="5"/>
        <v>0</v>
      </c>
      <c r="H69" s="10">
        <f t="shared" si="6"/>
        <v>0</v>
      </c>
    </row>
    <row r="70" spans="2:8" ht="18.75" x14ac:dyDescent="0.5">
      <c r="B70" s="9">
        <f t="shared" si="2"/>
        <v>0</v>
      </c>
      <c r="C70" s="11">
        <f>IF(B70=57,'1'!BG$16,0)</f>
        <v>0</v>
      </c>
      <c r="D70" s="10">
        <f>IF(B70=57,D69-F69,0)</f>
        <v>0</v>
      </c>
      <c r="E70" s="10">
        <f t="shared" si="4"/>
        <v>0</v>
      </c>
      <c r="F70" s="10">
        <f>IF(B70=57,$G$4-E70,0)</f>
        <v>0</v>
      </c>
      <c r="G70" s="10">
        <f t="shared" si="5"/>
        <v>0</v>
      </c>
      <c r="H70" s="10">
        <f t="shared" si="6"/>
        <v>0</v>
      </c>
    </row>
    <row r="71" spans="2:8" ht="18.75" x14ac:dyDescent="0.5">
      <c r="B71" s="9">
        <f t="shared" si="2"/>
        <v>0</v>
      </c>
      <c r="C71" s="11">
        <f>IF(B71=58,'1'!BH$16,0)</f>
        <v>0</v>
      </c>
      <c r="D71" s="10">
        <f>IF(B71=58,D70-F70,0)</f>
        <v>0</v>
      </c>
      <c r="E71" s="10">
        <f t="shared" si="4"/>
        <v>0</v>
      </c>
      <c r="F71" s="10">
        <f>IF(B71=58,$G$4-E71,0)</f>
        <v>0</v>
      </c>
      <c r="G71" s="10">
        <f t="shared" si="5"/>
        <v>0</v>
      </c>
      <c r="H71" s="10">
        <f t="shared" si="6"/>
        <v>0</v>
      </c>
    </row>
    <row r="72" spans="2:8" ht="18.75" x14ac:dyDescent="0.5">
      <c r="B72" s="9">
        <f t="shared" si="2"/>
        <v>0</v>
      </c>
      <c r="C72" s="11">
        <f>IF(B72=59,'1'!BI$16,0)</f>
        <v>0</v>
      </c>
      <c r="D72" s="10">
        <f>IF(B72=59,D71-F71,0)</f>
        <v>0</v>
      </c>
      <c r="E72" s="10">
        <f t="shared" si="4"/>
        <v>0</v>
      </c>
      <c r="F72" s="10">
        <f>IF(B72=59,$G$4-E72,0)</f>
        <v>0</v>
      </c>
      <c r="G72" s="10">
        <f t="shared" si="5"/>
        <v>0</v>
      </c>
      <c r="H72" s="10">
        <f t="shared" si="6"/>
        <v>0</v>
      </c>
    </row>
    <row r="73" spans="2:8" ht="18.75" x14ac:dyDescent="0.5">
      <c r="B73" s="9">
        <f t="shared" si="2"/>
        <v>0</v>
      </c>
      <c r="C73" s="11">
        <f>IF(B73=60,'1'!BJ$16,0)</f>
        <v>0</v>
      </c>
      <c r="D73" s="10">
        <f>IF(B73=60,D72-F72,0)</f>
        <v>0</v>
      </c>
      <c r="E73" s="10">
        <f t="shared" si="4"/>
        <v>0</v>
      </c>
      <c r="F73" s="10">
        <f>IF(B73=60,$G$4-E73,0)</f>
        <v>0</v>
      </c>
      <c r="G73" s="10">
        <f t="shared" si="5"/>
        <v>0</v>
      </c>
      <c r="H73" s="10">
        <f t="shared" si="6"/>
        <v>0</v>
      </c>
    </row>
    <row r="74" spans="2:8" ht="18.75" x14ac:dyDescent="0.5">
      <c r="B74" s="9">
        <f t="shared" si="2"/>
        <v>0</v>
      </c>
      <c r="C74" s="11">
        <f>IF(B74=61,'1'!BK$16,0)</f>
        <v>0</v>
      </c>
      <c r="D74" s="10">
        <f>IF(B74=61,D73-F73,0)</f>
        <v>0</v>
      </c>
      <c r="E74" s="10">
        <f t="shared" si="4"/>
        <v>0</v>
      </c>
      <c r="F74" s="10">
        <f>IF(B74=61,$G$4-E74,0)</f>
        <v>0</v>
      </c>
      <c r="G74" s="10">
        <f t="shared" si="5"/>
        <v>0</v>
      </c>
      <c r="H74" s="10">
        <f t="shared" si="6"/>
        <v>0</v>
      </c>
    </row>
  </sheetData>
  <sheetProtection selectLockedCells="1"/>
  <customSheetViews>
    <customSheetView guid="{F954D35E-5269-4B79-B189-F3BEB60F2B9C}" zeroValues="0" topLeftCell="A22">
      <selection activeCell="E39" sqref="E39"/>
      <pageMargins left="0" right="0" top="0" bottom="0" header="0.5" footer="0.5"/>
      <pageSetup paperSize="9" scale="83" orientation="landscape" r:id="rId1"/>
      <headerFooter alignWithMargins="0"/>
    </customSheetView>
  </customSheetViews>
  <mergeCells count="10">
    <mergeCell ref="I38:N42"/>
    <mergeCell ref="B2:C2"/>
    <mergeCell ref="F2:H2"/>
    <mergeCell ref="G3:H3"/>
    <mergeCell ref="I2:N2"/>
    <mergeCell ref="I3:N33"/>
    <mergeCell ref="G4:H4"/>
    <mergeCell ref="G5:H5"/>
    <mergeCell ref="B11:H11"/>
    <mergeCell ref="E7:G8"/>
  </mergeCells>
  <phoneticPr fontId="1" type="noConversion"/>
  <conditionalFormatting sqref="B14:H14 B15:B74">
    <cfRule type="expression" dxfId="21" priority="1" stopIfTrue="1">
      <formula>$C$6&gt;=1</formula>
    </cfRule>
  </conditionalFormatting>
  <conditionalFormatting sqref="B12:H13">
    <cfRule type="expression" dxfId="20" priority="2" stopIfTrue="1">
      <formula>$C$5&gt;0</formula>
    </cfRule>
  </conditionalFormatting>
  <conditionalFormatting sqref="B15:H15">
    <cfRule type="expression" dxfId="19" priority="3" stopIfTrue="1">
      <formula>$C$6&gt;=2</formula>
    </cfRule>
  </conditionalFormatting>
  <conditionalFormatting sqref="B16:H16">
    <cfRule type="expression" dxfId="18" priority="4" stopIfTrue="1">
      <formula>$C$6&gt;=3</formula>
    </cfRule>
  </conditionalFormatting>
  <conditionalFormatting sqref="B17:H17">
    <cfRule type="expression" dxfId="17" priority="5" stopIfTrue="1">
      <formula>$C$6&gt;=4</formula>
    </cfRule>
  </conditionalFormatting>
  <conditionalFormatting sqref="B19:H19">
    <cfRule type="expression" dxfId="16" priority="6" stopIfTrue="1">
      <formula>$C$6&gt;=6</formula>
    </cfRule>
  </conditionalFormatting>
  <conditionalFormatting sqref="B20:H20">
    <cfRule type="expression" dxfId="15" priority="7" stopIfTrue="1">
      <formula>$C$6&gt;=7</formula>
    </cfRule>
  </conditionalFormatting>
  <conditionalFormatting sqref="B21:H21">
    <cfRule type="expression" dxfId="14" priority="8" stopIfTrue="1">
      <formula>$C$6&gt;=8</formula>
    </cfRule>
  </conditionalFormatting>
  <conditionalFormatting sqref="B22:H22">
    <cfRule type="expression" dxfId="13" priority="9" stopIfTrue="1">
      <formula>$C$6&gt;=9</formula>
    </cfRule>
  </conditionalFormatting>
  <conditionalFormatting sqref="B23:H23">
    <cfRule type="expression" dxfId="12" priority="10" stopIfTrue="1">
      <formula>$C$6&gt;=10</formula>
    </cfRule>
  </conditionalFormatting>
  <conditionalFormatting sqref="B24:H24">
    <cfRule type="expression" dxfId="11" priority="11" stopIfTrue="1">
      <formula>$C$6&gt;=11</formula>
    </cfRule>
  </conditionalFormatting>
  <conditionalFormatting sqref="B25:H25">
    <cfRule type="expression" dxfId="10" priority="12" stopIfTrue="1">
      <formula>$C$6&gt;=12</formula>
    </cfRule>
  </conditionalFormatting>
  <conditionalFormatting sqref="B26:H26">
    <cfRule type="expression" dxfId="9" priority="13" stopIfTrue="1">
      <formula>$C$6&gt;=13</formula>
    </cfRule>
  </conditionalFormatting>
  <conditionalFormatting sqref="B27:H27">
    <cfRule type="expression" dxfId="8" priority="14" stopIfTrue="1">
      <formula>$C$6&gt;=14</formula>
    </cfRule>
  </conditionalFormatting>
  <conditionalFormatting sqref="B28:H28">
    <cfRule type="expression" dxfId="7" priority="15" stopIfTrue="1">
      <formula>$C$6&gt;=15</formula>
    </cfRule>
  </conditionalFormatting>
  <conditionalFormatting sqref="B29:H29">
    <cfRule type="expression" dxfId="6" priority="16" stopIfTrue="1">
      <formula>$C$6&gt;=16</formula>
    </cfRule>
  </conditionalFormatting>
  <conditionalFormatting sqref="B30:H30">
    <cfRule type="expression" dxfId="5" priority="17" stopIfTrue="1">
      <formula>$C$6&gt;=17</formula>
    </cfRule>
  </conditionalFormatting>
  <conditionalFormatting sqref="B31:H31">
    <cfRule type="expression" dxfId="4" priority="18" stopIfTrue="1">
      <formula>$C$6&gt;=18</formula>
    </cfRule>
  </conditionalFormatting>
  <conditionalFormatting sqref="B32:H32">
    <cfRule type="expression" dxfId="3" priority="19" stopIfTrue="1">
      <formula>$C$6&gt;=19</formula>
    </cfRule>
  </conditionalFormatting>
  <conditionalFormatting sqref="B33:H57 F40:F73 C40:C74 D58:H74">
    <cfRule type="expression" dxfId="2" priority="20" stopIfTrue="1">
      <formula>$C$6&gt;=20</formula>
    </cfRule>
  </conditionalFormatting>
  <conditionalFormatting sqref="F2:H5">
    <cfRule type="expression" dxfId="1" priority="21" stopIfTrue="1">
      <formula>$C$5&gt;0</formula>
    </cfRule>
  </conditionalFormatting>
  <conditionalFormatting sqref="B18:H18">
    <cfRule type="expression" dxfId="0" priority="22" stopIfTrue="1">
      <formula>$C$6&gt;=5</formula>
    </cfRule>
  </conditionalFormatting>
  <hyperlinks>
    <hyperlink ref="E7" r:id="rId2"/>
  </hyperlinks>
  <pageMargins left="0" right="0" top="0" bottom="0" header="0.5" footer="0.5"/>
  <pageSetup paperSize="9" scale="83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16"/>
  <sheetViews>
    <sheetView rightToLeft="1" workbookViewId="0">
      <selection activeCell="BL13" sqref="BL13"/>
    </sheetView>
  </sheetViews>
  <sheetFormatPr defaultRowHeight="12.75" x14ac:dyDescent="0.2"/>
  <cols>
    <col min="1" max="1" width="8.140625" bestFit="1" customWidth="1"/>
    <col min="2" max="2" width="12.5703125" customWidth="1"/>
    <col min="4" max="4" width="8.5703125" customWidth="1"/>
    <col min="10" max="10" width="9.140625" style="1"/>
    <col min="12" max="12" width="9.140625" style="1"/>
  </cols>
  <sheetData>
    <row r="1" spans="1:64" x14ac:dyDescent="0.2">
      <c r="D1" t="str">
        <f>RIGHT(A3,2)</f>
        <v>13</v>
      </c>
      <c r="E1" t="str">
        <f>RIGHT(A4)</f>
        <v>9</v>
      </c>
      <c r="F1" t="str">
        <f>RIGHT(A5)</f>
        <v>1</v>
      </c>
      <c r="G1" t="str">
        <f>RIGHT(A6)</f>
        <v>/</v>
      </c>
      <c r="H1" t="str">
        <f>RIGHT(A7)</f>
        <v>0</v>
      </c>
      <c r="I1" t="str">
        <f>RIGHT(A8)</f>
        <v>2</v>
      </c>
      <c r="J1" t="str">
        <f>RIGHT(B11)</f>
        <v>6</v>
      </c>
      <c r="K1" t="str">
        <f>RIGHT(A10)</f>
        <v>1</v>
      </c>
    </row>
    <row r="2" spans="1:64" x14ac:dyDescent="0.2">
      <c r="A2" t="str">
        <f>LEFT($B$11,1)</f>
        <v>1</v>
      </c>
      <c r="E2" t="str">
        <f>E1</f>
        <v>9</v>
      </c>
      <c r="H2" t="str">
        <f>H1</f>
        <v>0</v>
      </c>
    </row>
    <row r="3" spans="1:64" x14ac:dyDescent="0.2">
      <c r="A3" t="str">
        <f>LEFT($B$11,2)</f>
        <v>13</v>
      </c>
    </row>
    <row r="4" spans="1:64" x14ac:dyDescent="0.2">
      <c r="A4" t="str">
        <f>LEFT($B$11,3)</f>
        <v>139</v>
      </c>
    </row>
    <row r="5" spans="1:64" x14ac:dyDescent="0.2">
      <c r="A5" t="str">
        <f>LEFT($B$11,4)</f>
        <v>1391</v>
      </c>
    </row>
    <row r="6" spans="1:64" x14ac:dyDescent="0.2">
      <c r="A6" t="str">
        <f>LEFT($B$11,5)</f>
        <v>1391/</v>
      </c>
    </row>
    <row r="7" spans="1:64" x14ac:dyDescent="0.2">
      <c r="A7" t="str">
        <f>LEFT($B$11,6)</f>
        <v>1391/0</v>
      </c>
    </row>
    <row r="8" spans="1:64" x14ac:dyDescent="0.2">
      <c r="A8" t="str">
        <f>LEFT($B$11,7)</f>
        <v>1391/02</v>
      </c>
    </row>
    <row r="9" spans="1:64" x14ac:dyDescent="0.2">
      <c r="A9" t="str">
        <f>LEFT($B$11,8)</f>
        <v>1391/02/</v>
      </c>
    </row>
    <row r="10" spans="1:64" x14ac:dyDescent="0.2">
      <c r="A10" t="str">
        <f>LEFT($B$11,9)</f>
        <v>1391/02/1</v>
      </c>
    </row>
    <row r="11" spans="1:64" x14ac:dyDescent="0.2">
      <c r="B11" s="13" t="str">
        <f>'فرم محاسبه سود تسهيلات'!C4</f>
        <v>1391/02/16</v>
      </c>
      <c r="C11">
        <f>'فرم محاسبه سود تسهيلات'!C8</f>
        <v>1</v>
      </c>
    </row>
    <row r="12" spans="1:64" x14ac:dyDescent="0.2">
      <c r="C12" t="s">
        <v>11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</row>
    <row r="13" spans="1:64" x14ac:dyDescent="0.2">
      <c r="B13" t="s">
        <v>7</v>
      </c>
      <c r="C13" s="12" t="str">
        <f>A5</f>
        <v>1391</v>
      </c>
      <c r="D13" t="str">
        <f>IF(C14+$C$11&gt;12,C13+1,C13)</f>
        <v>1391</v>
      </c>
      <c r="E13" t="str">
        <f t="shared" ref="E13:X13" si="0">IF(D14+$C$11&gt;12,D13+1,D13)</f>
        <v>1391</v>
      </c>
      <c r="F13" t="str">
        <f t="shared" si="0"/>
        <v>1391</v>
      </c>
      <c r="G13" t="str">
        <f t="shared" si="0"/>
        <v>1391</v>
      </c>
      <c r="H13" t="str">
        <f t="shared" si="0"/>
        <v>1391</v>
      </c>
      <c r="I13" t="str">
        <f t="shared" si="0"/>
        <v>1391</v>
      </c>
      <c r="J13" t="str">
        <f t="shared" si="0"/>
        <v>1391</v>
      </c>
      <c r="K13" t="str">
        <f t="shared" si="0"/>
        <v>1391</v>
      </c>
      <c r="L13" t="str">
        <f t="shared" si="0"/>
        <v>1391</v>
      </c>
      <c r="M13" t="str">
        <f t="shared" si="0"/>
        <v>1391</v>
      </c>
      <c r="N13">
        <f t="shared" si="0"/>
        <v>1392</v>
      </c>
      <c r="O13">
        <f t="shared" si="0"/>
        <v>1392</v>
      </c>
      <c r="P13">
        <f t="shared" si="0"/>
        <v>1392</v>
      </c>
      <c r="Q13">
        <f t="shared" si="0"/>
        <v>1392</v>
      </c>
      <c r="R13">
        <f t="shared" si="0"/>
        <v>1392</v>
      </c>
      <c r="S13">
        <f t="shared" si="0"/>
        <v>1392</v>
      </c>
      <c r="T13">
        <f t="shared" si="0"/>
        <v>1392</v>
      </c>
      <c r="U13">
        <f t="shared" si="0"/>
        <v>1392</v>
      </c>
      <c r="V13">
        <f t="shared" si="0"/>
        <v>1392</v>
      </c>
      <c r="W13">
        <f t="shared" si="0"/>
        <v>1392</v>
      </c>
      <c r="X13">
        <f t="shared" si="0"/>
        <v>1392</v>
      </c>
      <c r="Y13">
        <f t="shared" ref="Y13" si="1">IF(X14+$C$11&gt;12,X13+1,X13)</f>
        <v>1392</v>
      </c>
      <c r="Z13">
        <f t="shared" ref="Z13" si="2">IF(Y14+$C$11&gt;12,Y13+1,Y13)</f>
        <v>1393</v>
      </c>
      <c r="AA13">
        <f t="shared" ref="AA13" si="3">IF(Z14+$C$11&gt;12,Z13+1,Z13)</f>
        <v>1393</v>
      </c>
      <c r="AB13">
        <f t="shared" ref="AB13" si="4">IF(AA14+$C$11&gt;12,AA13+1,AA13)</f>
        <v>1393</v>
      </c>
      <c r="AC13">
        <f t="shared" ref="AC13" si="5">IF(AB14+$C$11&gt;12,AB13+1,AB13)</f>
        <v>1393</v>
      </c>
      <c r="AD13">
        <f t="shared" ref="AD13" si="6">IF(AC14+$C$11&gt;12,AC13+1,AC13)</f>
        <v>1393</v>
      </c>
      <c r="AE13">
        <f t="shared" ref="AE13" si="7">IF(AD14+$C$11&gt;12,AD13+1,AD13)</f>
        <v>1393</v>
      </c>
      <c r="AF13">
        <f t="shared" ref="AF13" si="8">IF(AE14+$C$11&gt;12,AE13+1,AE13)</f>
        <v>1393</v>
      </c>
      <c r="AG13">
        <f t="shared" ref="AG13" si="9">IF(AF14+$C$11&gt;12,AF13+1,AF13)</f>
        <v>1393</v>
      </c>
      <c r="AH13">
        <f t="shared" ref="AH13" si="10">IF(AG14+$C$11&gt;12,AG13+1,AG13)</f>
        <v>1393</v>
      </c>
      <c r="AI13">
        <f t="shared" ref="AI13" si="11">IF(AH14+$C$11&gt;12,AH13+1,AH13)</f>
        <v>1393</v>
      </c>
      <c r="AJ13">
        <f t="shared" ref="AJ13" si="12">IF(AI14+$C$11&gt;12,AI13+1,AI13)</f>
        <v>1393</v>
      </c>
      <c r="AK13">
        <f t="shared" ref="AK13" si="13">IF(AJ14+$C$11&gt;12,AJ13+1,AJ13)</f>
        <v>1393</v>
      </c>
      <c r="AL13">
        <f t="shared" ref="AL13" si="14">IF(AK14+$C$11&gt;12,AK13+1,AK13)</f>
        <v>1394</v>
      </c>
      <c r="AM13">
        <f t="shared" ref="AM13" si="15">IF(AL14+$C$11&gt;12,AL13+1,AL13)</f>
        <v>1394</v>
      </c>
      <c r="AN13">
        <f t="shared" ref="AN13" si="16">IF(AM14+$C$11&gt;12,AM13+1,AM13)</f>
        <v>1394</v>
      </c>
      <c r="AO13">
        <f t="shared" ref="AO13" si="17">IF(AN14+$C$11&gt;12,AN13+1,AN13)</f>
        <v>1394</v>
      </c>
      <c r="AP13">
        <f t="shared" ref="AP13" si="18">IF(AO14+$C$11&gt;12,AO13+1,AO13)</f>
        <v>1394</v>
      </c>
      <c r="AQ13">
        <f t="shared" ref="AQ13" si="19">IF(AP14+$C$11&gt;12,AP13+1,AP13)</f>
        <v>1394</v>
      </c>
      <c r="AR13">
        <f t="shared" ref="AR13" si="20">IF(AQ14+$C$11&gt;12,AQ13+1,AQ13)</f>
        <v>1394</v>
      </c>
      <c r="AS13">
        <f t="shared" ref="AS13" si="21">IF(AR14+$C$11&gt;12,AR13+1,AR13)</f>
        <v>1394</v>
      </c>
      <c r="AT13">
        <f t="shared" ref="AT13" si="22">IF(AS14+$C$11&gt;12,AS13+1,AS13)</f>
        <v>1394</v>
      </c>
      <c r="AU13">
        <f t="shared" ref="AU13" si="23">IF(AT14+$C$11&gt;12,AT13+1,AT13)</f>
        <v>1394</v>
      </c>
      <c r="AV13">
        <f t="shared" ref="AV13" si="24">IF(AU14+$C$11&gt;12,AU13+1,AU13)</f>
        <v>1394</v>
      </c>
      <c r="AW13">
        <f t="shared" ref="AW13" si="25">IF(AV14+$C$11&gt;12,AV13+1,AV13)</f>
        <v>1394</v>
      </c>
      <c r="AX13">
        <f t="shared" ref="AX13" si="26">IF(AW14+$C$11&gt;12,AW13+1,AW13)</f>
        <v>1395</v>
      </c>
      <c r="AY13">
        <f t="shared" ref="AY13" si="27">IF(AX14+$C$11&gt;12,AX13+1,AX13)</f>
        <v>1395</v>
      </c>
      <c r="AZ13">
        <f t="shared" ref="AZ13" si="28">IF(AY14+$C$11&gt;12,AY13+1,AY13)</f>
        <v>1395</v>
      </c>
      <c r="BA13">
        <f t="shared" ref="BA13" si="29">IF(AZ14+$C$11&gt;12,AZ13+1,AZ13)</f>
        <v>1395</v>
      </c>
      <c r="BB13">
        <f t="shared" ref="BB13" si="30">IF(BA14+$C$11&gt;12,BA13+1,BA13)</f>
        <v>1395</v>
      </c>
      <c r="BC13">
        <f t="shared" ref="BC13" si="31">IF(BB14+$C$11&gt;12,BB13+1,BB13)</f>
        <v>1395</v>
      </c>
      <c r="BD13">
        <f t="shared" ref="BD13" si="32">IF(BC14+$C$11&gt;12,BC13+1,BC13)</f>
        <v>1395</v>
      </c>
      <c r="BE13">
        <f t="shared" ref="BE13" si="33">IF(BD14+$C$11&gt;12,BD13+1,BD13)</f>
        <v>1395</v>
      </c>
      <c r="BF13">
        <f t="shared" ref="BF13" si="34">IF(BE14+$C$11&gt;12,BE13+1,BE13)</f>
        <v>1395</v>
      </c>
      <c r="BG13">
        <f t="shared" ref="BG13" si="35">IF(BF14+$C$11&gt;12,BF13+1,BF13)</f>
        <v>1395</v>
      </c>
      <c r="BH13">
        <f t="shared" ref="BH13" si="36">IF(BG14+$C$11&gt;12,BG13+1,BG13)</f>
        <v>1395</v>
      </c>
      <c r="BI13">
        <f t="shared" ref="BI13" si="37">IF(BH14+$C$11&gt;12,BH13+1,BH13)</f>
        <v>1395</v>
      </c>
      <c r="BJ13">
        <f t="shared" ref="BJ13" si="38">IF(BI14+$C$11&gt;12,BI13+1,BI13)</f>
        <v>1396</v>
      </c>
      <c r="BK13">
        <f t="shared" ref="BK13:BL13" si="39">IF(BJ14+$C$11&gt;12,BJ13+1,BJ13)</f>
        <v>1396</v>
      </c>
      <c r="BL13">
        <f t="shared" si="39"/>
        <v>1396</v>
      </c>
    </row>
    <row r="14" spans="1:64" x14ac:dyDescent="0.2">
      <c r="B14" t="s">
        <v>8</v>
      </c>
      <c r="C14">
        <f>CONCATENATE(H1,I1)+0</f>
        <v>2</v>
      </c>
      <c r="D14">
        <f>IF($C$11+C14&gt;12,C14+$C$11-12,$C$11+C14)</f>
        <v>3</v>
      </c>
      <c r="E14">
        <f t="shared" ref="E14:X14" si="40">IF($C$11+D14&gt;12,D14+$C$11-12,$C$11+D14)</f>
        <v>4</v>
      </c>
      <c r="F14">
        <f t="shared" si="40"/>
        <v>5</v>
      </c>
      <c r="G14">
        <f t="shared" si="40"/>
        <v>6</v>
      </c>
      <c r="H14">
        <f t="shared" si="40"/>
        <v>7</v>
      </c>
      <c r="I14">
        <f t="shared" si="40"/>
        <v>8</v>
      </c>
      <c r="J14">
        <f t="shared" si="40"/>
        <v>9</v>
      </c>
      <c r="K14">
        <f t="shared" si="40"/>
        <v>10</v>
      </c>
      <c r="L14">
        <f t="shared" si="40"/>
        <v>11</v>
      </c>
      <c r="M14">
        <f t="shared" si="40"/>
        <v>12</v>
      </c>
      <c r="N14">
        <f t="shared" si="40"/>
        <v>1</v>
      </c>
      <c r="O14">
        <f t="shared" si="40"/>
        <v>2</v>
      </c>
      <c r="P14">
        <f t="shared" si="40"/>
        <v>3</v>
      </c>
      <c r="Q14">
        <f t="shared" si="40"/>
        <v>4</v>
      </c>
      <c r="R14">
        <f t="shared" si="40"/>
        <v>5</v>
      </c>
      <c r="S14">
        <f t="shared" si="40"/>
        <v>6</v>
      </c>
      <c r="T14">
        <f t="shared" si="40"/>
        <v>7</v>
      </c>
      <c r="U14">
        <f t="shared" si="40"/>
        <v>8</v>
      </c>
      <c r="V14">
        <f t="shared" si="40"/>
        <v>9</v>
      </c>
      <c r="W14">
        <f t="shared" si="40"/>
        <v>10</v>
      </c>
      <c r="X14">
        <f t="shared" si="40"/>
        <v>11</v>
      </c>
      <c r="Y14">
        <f t="shared" ref="Y14" si="41">IF($C$11+X14&gt;12,X14+$C$11-12,$C$11+X14)</f>
        <v>12</v>
      </c>
      <c r="Z14">
        <f t="shared" ref="Z14" si="42">IF($C$11+Y14&gt;12,Y14+$C$11-12,$C$11+Y14)</f>
        <v>1</v>
      </c>
      <c r="AA14">
        <f t="shared" ref="AA14" si="43">IF($C$11+Z14&gt;12,Z14+$C$11-12,$C$11+Z14)</f>
        <v>2</v>
      </c>
      <c r="AB14">
        <f t="shared" ref="AB14" si="44">IF($C$11+AA14&gt;12,AA14+$C$11-12,$C$11+AA14)</f>
        <v>3</v>
      </c>
      <c r="AC14">
        <f t="shared" ref="AC14" si="45">IF($C$11+AB14&gt;12,AB14+$C$11-12,$C$11+AB14)</f>
        <v>4</v>
      </c>
      <c r="AD14">
        <f t="shared" ref="AD14" si="46">IF($C$11+AC14&gt;12,AC14+$C$11-12,$C$11+AC14)</f>
        <v>5</v>
      </c>
      <c r="AE14">
        <f t="shared" ref="AE14" si="47">IF($C$11+AD14&gt;12,AD14+$C$11-12,$C$11+AD14)</f>
        <v>6</v>
      </c>
      <c r="AF14">
        <f t="shared" ref="AF14" si="48">IF($C$11+AE14&gt;12,AE14+$C$11-12,$C$11+AE14)</f>
        <v>7</v>
      </c>
      <c r="AG14">
        <f t="shared" ref="AG14" si="49">IF($C$11+AF14&gt;12,AF14+$C$11-12,$C$11+AF14)</f>
        <v>8</v>
      </c>
      <c r="AH14">
        <f t="shared" ref="AH14" si="50">IF($C$11+AG14&gt;12,AG14+$C$11-12,$C$11+AG14)</f>
        <v>9</v>
      </c>
      <c r="AI14">
        <f t="shared" ref="AI14" si="51">IF($C$11+AH14&gt;12,AH14+$C$11-12,$C$11+AH14)</f>
        <v>10</v>
      </c>
      <c r="AJ14">
        <f t="shared" ref="AJ14" si="52">IF($C$11+AI14&gt;12,AI14+$C$11-12,$C$11+AI14)</f>
        <v>11</v>
      </c>
      <c r="AK14">
        <f t="shared" ref="AK14" si="53">IF($C$11+AJ14&gt;12,AJ14+$C$11-12,$C$11+AJ14)</f>
        <v>12</v>
      </c>
      <c r="AL14">
        <f t="shared" ref="AL14" si="54">IF($C$11+AK14&gt;12,AK14+$C$11-12,$C$11+AK14)</f>
        <v>1</v>
      </c>
      <c r="AM14">
        <f t="shared" ref="AM14" si="55">IF($C$11+AL14&gt;12,AL14+$C$11-12,$C$11+AL14)</f>
        <v>2</v>
      </c>
      <c r="AN14">
        <f t="shared" ref="AN14" si="56">IF($C$11+AM14&gt;12,AM14+$C$11-12,$C$11+AM14)</f>
        <v>3</v>
      </c>
      <c r="AO14">
        <f t="shared" ref="AO14" si="57">IF($C$11+AN14&gt;12,AN14+$C$11-12,$C$11+AN14)</f>
        <v>4</v>
      </c>
      <c r="AP14">
        <f t="shared" ref="AP14" si="58">IF($C$11+AO14&gt;12,AO14+$C$11-12,$C$11+AO14)</f>
        <v>5</v>
      </c>
      <c r="AQ14">
        <f t="shared" ref="AQ14" si="59">IF($C$11+AP14&gt;12,AP14+$C$11-12,$C$11+AP14)</f>
        <v>6</v>
      </c>
      <c r="AR14">
        <f t="shared" ref="AR14" si="60">IF($C$11+AQ14&gt;12,AQ14+$C$11-12,$C$11+AQ14)</f>
        <v>7</v>
      </c>
      <c r="AS14">
        <f t="shared" ref="AS14" si="61">IF($C$11+AR14&gt;12,AR14+$C$11-12,$C$11+AR14)</f>
        <v>8</v>
      </c>
      <c r="AT14">
        <f t="shared" ref="AT14" si="62">IF($C$11+AS14&gt;12,AS14+$C$11-12,$C$11+AS14)</f>
        <v>9</v>
      </c>
      <c r="AU14">
        <f t="shared" ref="AU14" si="63">IF($C$11+AT14&gt;12,AT14+$C$11-12,$C$11+AT14)</f>
        <v>10</v>
      </c>
      <c r="AV14">
        <f t="shared" ref="AV14" si="64">IF($C$11+AU14&gt;12,AU14+$C$11-12,$C$11+AU14)</f>
        <v>11</v>
      </c>
      <c r="AW14">
        <f t="shared" ref="AW14" si="65">IF($C$11+AV14&gt;12,AV14+$C$11-12,$C$11+AV14)</f>
        <v>12</v>
      </c>
      <c r="AX14">
        <f t="shared" ref="AX14" si="66">IF($C$11+AW14&gt;12,AW14+$C$11-12,$C$11+AW14)</f>
        <v>1</v>
      </c>
      <c r="AY14">
        <f t="shared" ref="AY14" si="67">IF($C$11+AX14&gt;12,AX14+$C$11-12,$C$11+AX14)</f>
        <v>2</v>
      </c>
      <c r="AZ14">
        <f t="shared" ref="AZ14" si="68">IF($C$11+AY14&gt;12,AY14+$C$11-12,$C$11+AY14)</f>
        <v>3</v>
      </c>
      <c r="BA14">
        <f t="shared" ref="BA14" si="69">IF($C$11+AZ14&gt;12,AZ14+$C$11-12,$C$11+AZ14)</f>
        <v>4</v>
      </c>
      <c r="BB14">
        <f t="shared" ref="BB14" si="70">IF($C$11+BA14&gt;12,BA14+$C$11-12,$C$11+BA14)</f>
        <v>5</v>
      </c>
      <c r="BC14">
        <f t="shared" ref="BC14" si="71">IF($C$11+BB14&gt;12,BB14+$C$11-12,$C$11+BB14)</f>
        <v>6</v>
      </c>
      <c r="BD14">
        <f t="shared" ref="BD14" si="72">IF($C$11+BC14&gt;12,BC14+$C$11-12,$C$11+BC14)</f>
        <v>7</v>
      </c>
      <c r="BE14">
        <f t="shared" ref="BE14" si="73">IF($C$11+BD14&gt;12,BD14+$C$11-12,$C$11+BD14)</f>
        <v>8</v>
      </c>
      <c r="BF14">
        <f t="shared" ref="BF14" si="74">IF($C$11+BE14&gt;12,BE14+$C$11-12,$C$11+BE14)</f>
        <v>9</v>
      </c>
      <c r="BG14">
        <f t="shared" ref="BG14" si="75">IF($C$11+BF14&gt;12,BF14+$C$11-12,$C$11+BF14)</f>
        <v>10</v>
      </c>
      <c r="BH14">
        <f t="shared" ref="BH14" si="76">IF($C$11+BG14&gt;12,BG14+$C$11-12,$C$11+BG14)</f>
        <v>11</v>
      </c>
      <c r="BI14">
        <f t="shared" ref="BI14" si="77">IF($C$11+BH14&gt;12,BH14+$C$11-12,$C$11+BH14)</f>
        <v>12</v>
      </c>
      <c r="BJ14">
        <f t="shared" ref="BJ14" si="78">IF($C$11+BI14&gt;12,BI14+$C$11-12,$C$11+BI14)</f>
        <v>1</v>
      </c>
      <c r="BK14">
        <f t="shared" ref="BK14:BL14" si="79">IF($C$11+BJ14&gt;12,BJ14+$C$11-12,$C$11+BJ14)</f>
        <v>2</v>
      </c>
      <c r="BL14">
        <f t="shared" si="79"/>
        <v>3</v>
      </c>
    </row>
    <row r="15" spans="1:64" x14ac:dyDescent="0.2">
      <c r="B15" t="s">
        <v>9</v>
      </c>
      <c r="C15">
        <f>CONCATENATE(K1,J1)+0</f>
        <v>16</v>
      </c>
      <c r="D15">
        <f t="shared" ref="D15:BL15" si="80">$C$15</f>
        <v>16</v>
      </c>
      <c r="E15">
        <f t="shared" si="80"/>
        <v>16</v>
      </c>
      <c r="F15">
        <f t="shared" si="80"/>
        <v>16</v>
      </c>
      <c r="G15">
        <f t="shared" si="80"/>
        <v>16</v>
      </c>
      <c r="H15">
        <f t="shared" si="80"/>
        <v>16</v>
      </c>
      <c r="I15">
        <f t="shared" si="80"/>
        <v>16</v>
      </c>
      <c r="J15">
        <f t="shared" si="80"/>
        <v>16</v>
      </c>
      <c r="K15">
        <f t="shared" si="80"/>
        <v>16</v>
      </c>
      <c r="L15">
        <f t="shared" si="80"/>
        <v>16</v>
      </c>
      <c r="M15">
        <f t="shared" si="80"/>
        <v>16</v>
      </c>
      <c r="N15">
        <f t="shared" si="80"/>
        <v>16</v>
      </c>
      <c r="O15">
        <f t="shared" si="80"/>
        <v>16</v>
      </c>
      <c r="P15">
        <f t="shared" si="80"/>
        <v>16</v>
      </c>
      <c r="Q15">
        <f t="shared" si="80"/>
        <v>16</v>
      </c>
      <c r="R15">
        <f t="shared" si="80"/>
        <v>16</v>
      </c>
      <c r="S15">
        <f t="shared" si="80"/>
        <v>16</v>
      </c>
      <c r="T15">
        <f t="shared" si="80"/>
        <v>16</v>
      </c>
      <c r="U15">
        <f t="shared" si="80"/>
        <v>16</v>
      </c>
      <c r="V15">
        <f t="shared" si="80"/>
        <v>16</v>
      </c>
      <c r="W15">
        <f t="shared" si="80"/>
        <v>16</v>
      </c>
      <c r="X15">
        <f t="shared" si="80"/>
        <v>16</v>
      </c>
      <c r="Y15">
        <f t="shared" si="80"/>
        <v>16</v>
      </c>
      <c r="Z15">
        <f t="shared" si="80"/>
        <v>16</v>
      </c>
      <c r="AA15">
        <f t="shared" si="80"/>
        <v>16</v>
      </c>
      <c r="AB15">
        <f t="shared" si="80"/>
        <v>16</v>
      </c>
      <c r="AC15">
        <f t="shared" si="80"/>
        <v>16</v>
      </c>
      <c r="AD15">
        <f t="shared" si="80"/>
        <v>16</v>
      </c>
      <c r="AE15">
        <f t="shared" si="80"/>
        <v>16</v>
      </c>
      <c r="AF15">
        <f t="shared" si="80"/>
        <v>16</v>
      </c>
      <c r="AG15">
        <f t="shared" si="80"/>
        <v>16</v>
      </c>
      <c r="AH15">
        <f t="shared" si="80"/>
        <v>16</v>
      </c>
      <c r="AI15">
        <f t="shared" si="80"/>
        <v>16</v>
      </c>
      <c r="AJ15">
        <f t="shared" si="80"/>
        <v>16</v>
      </c>
      <c r="AK15">
        <f t="shared" si="80"/>
        <v>16</v>
      </c>
      <c r="AL15">
        <f t="shared" si="80"/>
        <v>16</v>
      </c>
      <c r="AM15">
        <f t="shared" si="80"/>
        <v>16</v>
      </c>
      <c r="AN15">
        <f t="shared" si="80"/>
        <v>16</v>
      </c>
      <c r="AO15">
        <f t="shared" si="80"/>
        <v>16</v>
      </c>
      <c r="AP15">
        <f t="shared" si="80"/>
        <v>16</v>
      </c>
      <c r="AQ15">
        <f t="shared" si="80"/>
        <v>16</v>
      </c>
      <c r="AR15">
        <f t="shared" si="80"/>
        <v>16</v>
      </c>
      <c r="AS15">
        <f t="shared" si="80"/>
        <v>16</v>
      </c>
      <c r="AT15">
        <f t="shared" si="80"/>
        <v>16</v>
      </c>
      <c r="AU15">
        <f t="shared" si="80"/>
        <v>16</v>
      </c>
      <c r="AV15">
        <f t="shared" si="80"/>
        <v>16</v>
      </c>
      <c r="AW15">
        <f t="shared" si="80"/>
        <v>16</v>
      </c>
      <c r="AX15">
        <f t="shared" si="80"/>
        <v>16</v>
      </c>
      <c r="AY15">
        <f t="shared" si="80"/>
        <v>16</v>
      </c>
      <c r="AZ15">
        <f t="shared" si="80"/>
        <v>16</v>
      </c>
      <c r="BA15">
        <f t="shared" si="80"/>
        <v>16</v>
      </c>
      <c r="BB15">
        <f t="shared" si="80"/>
        <v>16</v>
      </c>
      <c r="BC15">
        <f t="shared" si="80"/>
        <v>16</v>
      </c>
      <c r="BD15">
        <f t="shared" si="80"/>
        <v>16</v>
      </c>
      <c r="BE15">
        <f t="shared" si="80"/>
        <v>16</v>
      </c>
      <c r="BF15">
        <f t="shared" si="80"/>
        <v>16</v>
      </c>
      <c r="BG15">
        <f t="shared" si="80"/>
        <v>16</v>
      </c>
      <c r="BH15">
        <f t="shared" si="80"/>
        <v>16</v>
      </c>
      <c r="BI15">
        <f t="shared" si="80"/>
        <v>16</v>
      </c>
      <c r="BJ15">
        <f t="shared" si="80"/>
        <v>16</v>
      </c>
      <c r="BK15">
        <f t="shared" si="80"/>
        <v>16</v>
      </c>
      <c r="BL15">
        <f t="shared" si="80"/>
        <v>16</v>
      </c>
    </row>
    <row r="16" spans="1:64" x14ac:dyDescent="0.2">
      <c r="B16" t="s">
        <v>10</v>
      </c>
      <c r="C16" t="str">
        <f>CONCATENATE(C13,"/",C14,"/",C15)</f>
        <v>1391/2/16</v>
      </c>
      <c r="D16" t="str">
        <f>CONCATENATE(D13,"/",D14,"/",D15)</f>
        <v>1391/3/16</v>
      </c>
      <c r="E16" t="str">
        <f t="shared" ref="E16:BL16" si="81">CONCATENATE(E13,"/",E14,"/",E15)</f>
        <v>1391/4/16</v>
      </c>
      <c r="F16" t="str">
        <f t="shared" si="81"/>
        <v>1391/5/16</v>
      </c>
      <c r="G16" t="str">
        <f t="shared" si="81"/>
        <v>1391/6/16</v>
      </c>
      <c r="H16" t="str">
        <f t="shared" si="81"/>
        <v>1391/7/16</v>
      </c>
      <c r="I16" t="str">
        <f t="shared" si="81"/>
        <v>1391/8/16</v>
      </c>
      <c r="J16" t="str">
        <f t="shared" si="81"/>
        <v>1391/9/16</v>
      </c>
      <c r="K16" t="str">
        <f t="shared" si="81"/>
        <v>1391/10/16</v>
      </c>
      <c r="L16" t="str">
        <f t="shared" si="81"/>
        <v>1391/11/16</v>
      </c>
      <c r="M16" t="str">
        <f t="shared" si="81"/>
        <v>1391/12/16</v>
      </c>
      <c r="N16" t="str">
        <f t="shared" si="81"/>
        <v>1392/1/16</v>
      </c>
      <c r="O16" t="str">
        <f t="shared" si="81"/>
        <v>1392/2/16</v>
      </c>
      <c r="P16" t="str">
        <f t="shared" si="81"/>
        <v>1392/3/16</v>
      </c>
      <c r="Q16" t="str">
        <f t="shared" si="81"/>
        <v>1392/4/16</v>
      </c>
      <c r="R16" t="str">
        <f t="shared" si="81"/>
        <v>1392/5/16</v>
      </c>
      <c r="S16" t="str">
        <f t="shared" si="81"/>
        <v>1392/6/16</v>
      </c>
      <c r="T16" t="str">
        <f t="shared" si="81"/>
        <v>1392/7/16</v>
      </c>
      <c r="U16" t="str">
        <f t="shared" si="81"/>
        <v>1392/8/16</v>
      </c>
      <c r="V16" t="str">
        <f t="shared" si="81"/>
        <v>1392/9/16</v>
      </c>
      <c r="W16" t="str">
        <f t="shared" si="81"/>
        <v>1392/10/16</v>
      </c>
      <c r="X16" t="str">
        <f t="shared" si="81"/>
        <v>1392/11/16</v>
      </c>
      <c r="Y16" t="str">
        <f t="shared" si="81"/>
        <v>1392/12/16</v>
      </c>
      <c r="Z16" t="str">
        <f t="shared" si="81"/>
        <v>1393/1/16</v>
      </c>
      <c r="AA16" t="str">
        <f t="shared" si="81"/>
        <v>1393/2/16</v>
      </c>
      <c r="AB16" t="str">
        <f t="shared" si="81"/>
        <v>1393/3/16</v>
      </c>
      <c r="AC16" t="str">
        <f t="shared" si="81"/>
        <v>1393/4/16</v>
      </c>
      <c r="AD16" t="str">
        <f t="shared" si="81"/>
        <v>1393/5/16</v>
      </c>
      <c r="AE16" t="str">
        <f t="shared" si="81"/>
        <v>1393/6/16</v>
      </c>
      <c r="AF16" t="str">
        <f t="shared" si="81"/>
        <v>1393/7/16</v>
      </c>
      <c r="AG16" t="str">
        <f t="shared" si="81"/>
        <v>1393/8/16</v>
      </c>
      <c r="AH16" t="str">
        <f t="shared" si="81"/>
        <v>1393/9/16</v>
      </c>
      <c r="AI16" t="str">
        <f t="shared" si="81"/>
        <v>1393/10/16</v>
      </c>
      <c r="AJ16" t="str">
        <f t="shared" si="81"/>
        <v>1393/11/16</v>
      </c>
      <c r="AK16" t="str">
        <f t="shared" si="81"/>
        <v>1393/12/16</v>
      </c>
      <c r="AL16" t="str">
        <f t="shared" si="81"/>
        <v>1394/1/16</v>
      </c>
      <c r="AM16" t="str">
        <f t="shared" si="81"/>
        <v>1394/2/16</v>
      </c>
      <c r="AN16" t="str">
        <f t="shared" si="81"/>
        <v>1394/3/16</v>
      </c>
      <c r="AO16" t="str">
        <f t="shared" si="81"/>
        <v>1394/4/16</v>
      </c>
      <c r="AP16" t="str">
        <f t="shared" si="81"/>
        <v>1394/5/16</v>
      </c>
      <c r="AQ16" t="str">
        <f t="shared" si="81"/>
        <v>1394/6/16</v>
      </c>
      <c r="AR16" t="str">
        <f t="shared" si="81"/>
        <v>1394/7/16</v>
      </c>
      <c r="AS16" t="str">
        <f t="shared" si="81"/>
        <v>1394/8/16</v>
      </c>
      <c r="AT16" t="str">
        <f t="shared" si="81"/>
        <v>1394/9/16</v>
      </c>
      <c r="AU16" t="str">
        <f t="shared" si="81"/>
        <v>1394/10/16</v>
      </c>
      <c r="AV16" t="str">
        <f t="shared" si="81"/>
        <v>1394/11/16</v>
      </c>
      <c r="AW16" t="str">
        <f t="shared" si="81"/>
        <v>1394/12/16</v>
      </c>
      <c r="AX16" t="str">
        <f t="shared" si="81"/>
        <v>1395/1/16</v>
      </c>
      <c r="AY16" t="str">
        <f t="shared" si="81"/>
        <v>1395/2/16</v>
      </c>
      <c r="AZ16" t="str">
        <f t="shared" si="81"/>
        <v>1395/3/16</v>
      </c>
      <c r="BA16" t="str">
        <f t="shared" si="81"/>
        <v>1395/4/16</v>
      </c>
      <c r="BB16" t="str">
        <f t="shared" si="81"/>
        <v>1395/5/16</v>
      </c>
      <c r="BC16" t="str">
        <f t="shared" si="81"/>
        <v>1395/6/16</v>
      </c>
      <c r="BD16" t="str">
        <f t="shared" si="81"/>
        <v>1395/7/16</v>
      </c>
      <c r="BE16" t="str">
        <f t="shared" si="81"/>
        <v>1395/8/16</v>
      </c>
      <c r="BF16" t="str">
        <f t="shared" si="81"/>
        <v>1395/9/16</v>
      </c>
      <c r="BG16" t="str">
        <f t="shared" si="81"/>
        <v>1395/10/16</v>
      </c>
      <c r="BH16" t="str">
        <f t="shared" si="81"/>
        <v>1395/11/16</v>
      </c>
      <c r="BI16" t="str">
        <f t="shared" si="81"/>
        <v>1395/12/16</v>
      </c>
      <c r="BJ16" t="str">
        <f t="shared" si="81"/>
        <v>1396/1/16</v>
      </c>
      <c r="BK16" t="str">
        <f t="shared" si="81"/>
        <v>1396/2/16</v>
      </c>
      <c r="BL16" t="str">
        <f t="shared" si="81"/>
        <v>1396/3/16</v>
      </c>
    </row>
  </sheetData>
  <sheetProtection selectLockedCells="1"/>
  <customSheetViews>
    <customSheetView guid="{F954D35E-5269-4B79-B189-F3BEB60F2B9C}" topLeftCell="P1">
      <selection activeCell="W16" sqref="W16:X16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فرم محاسبه سود تسهيلات</vt:lpstr>
      <vt:lpstr>1</vt:lpstr>
    </vt:vector>
  </TitlesOfParts>
  <Company>Shomal Cement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shomal</dc:creator>
  <cp:lastModifiedBy>Moorche</cp:lastModifiedBy>
  <cp:lastPrinted>2009-03-14T04:14:15Z</cp:lastPrinted>
  <dcterms:created xsi:type="dcterms:W3CDTF">2008-06-14T11:08:56Z</dcterms:created>
  <dcterms:modified xsi:type="dcterms:W3CDTF">2017-09-26T21:37:18Z</dcterms:modified>
</cp:coreProperties>
</file>